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5460" activeTab="0"/>
  </bookViews>
  <sheets>
    <sheet name="INSIGHT5" sheetId="1" r:id="rId1"/>
  </sheets>
  <definedNames>
    <definedName name="\A">'INSIGHT5'!#REF!</definedName>
    <definedName name="\E">'INSIGHT5'!#REF!</definedName>
    <definedName name="\F">'INSIGHT5'!#REF!</definedName>
    <definedName name="\H">'INSIGHT5'!#REF!</definedName>
    <definedName name="\L">'INSIGHT5'!#REF!</definedName>
    <definedName name="\M">'INSIGHT5'!#REF!</definedName>
    <definedName name="\N">'INSIGHT5'!#REF!</definedName>
    <definedName name="\P">'INSIGHT5'!#REF!</definedName>
    <definedName name="\S">'INSIGHT5'!#REF!</definedName>
    <definedName name="\U">'INSIGHT5'!#REF!</definedName>
    <definedName name="\V">'INSIGHT5'!#REF!</definedName>
    <definedName name="\W">'INSIGHT5'!#REF!</definedName>
    <definedName name="\Z">'INSIGHT5'!$G$21</definedName>
    <definedName name="_Fill" localSheetId="0" hidden="1">'INSIGHT5'!$V$66</definedName>
    <definedName name="_Key1" localSheetId="0" hidden="1">'INSIGHT5'!$A$27:$A$52</definedName>
    <definedName name="_Key2" localSheetId="0" hidden="1">'INSIGHT5'!$B$31</definedName>
    <definedName name="_Order1" localSheetId="0" hidden="1">255</definedName>
    <definedName name="_Order2" localSheetId="0" hidden="1">255</definedName>
    <definedName name="_R2O3_UNITY">'INSIGHT5'!$V$66</definedName>
    <definedName name="_Sort" localSheetId="0" hidden="1">'INSIGHT5'!$A$27:$Z$52</definedName>
    <definedName name="ALUMINA_UNITY">'INSIGHT5'!$V$66</definedName>
    <definedName name="ANALYSIS">'INSIGHT5'!$E$56:$W$56</definedName>
    <definedName name="BOTTOM_TOTAL">'INSIGHT5'!$D$77</definedName>
    <definedName name="EXPAN_VALUES">'INSIGHT5'!$E$72:$W$72</definedName>
    <definedName name="FLUX_UNITY">'INSIGHT5'!$E$66:$M$66</definedName>
    <definedName name="FORMULA">'INSIGHT5'!$C$4:$C$22</definedName>
    <definedName name="FORMULA_NAME">'INSIGHT5'!$B$1</definedName>
    <definedName name="FORMULA_TOTAL">'INSIGHT5'!$C$23</definedName>
    <definedName name="FORMULA_WEIGHT">'INSIGHT5'!$E$85:$W$85</definedName>
    <definedName name="FUSION_VALUES">'INSIGHT5'!$E$70:$W$70</definedName>
    <definedName name="HELP">'INSIGHT5'!$A$87</definedName>
    <definedName name="IS_ANALYSIS">'INSIGHT5'!$D$23</definedName>
    <definedName name="KEY_COLUMN">'INSIGHT5'!$A$27:$A$52</definedName>
    <definedName name="LOI">'INSIGHT5'!$D$58</definedName>
    <definedName name="MACROS">'INSIGHT5'!#REF!</definedName>
    <definedName name="MDT_TABLE">'INSIGHT5'!$A$27:$Z$52</definedName>
    <definedName name="OXIDE_NAMES">'INSIGHT5'!$E$65:$W$65</definedName>
    <definedName name="OXIDE_TABLE">'INSIGHT5'!$A$4:$Z$22</definedName>
    <definedName name="OXIDE_WEIGHTS">'INSIGHT5'!$E$69:$P$69</definedName>
    <definedName name="PERCENT_NOLOI">'INSIGHT5'!$E$79:$W$79</definedName>
    <definedName name="PERCENT_SUM">'INSIGHT5'!$D$78</definedName>
    <definedName name="PRIMARY_KEY">'INSIGHT5'!$A$27</definedName>
    <definedName name="_xlnm.Print_Area" localSheetId="0">'INSIGHT5'!$A$1:$Z$102</definedName>
    <definedName name="PRINT_BOTTOM">'INSIGHT5'!$B$53:$W$62</definedName>
    <definedName name="PRINT_TOP">'INSIGHT5'!$B$1:$W$8</definedName>
    <definedName name="RATIO_BOTTOM">'INSIGHT5'!$E$68:$W$68</definedName>
    <definedName name="RATIO_TOP">'INSIGHT5'!$E$67:$W$67</definedName>
    <definedName name="RAW_FORMULA">'INSIGHT5'!$E$54:$W$54</definedName>
    <definedName name="RAW_PROP">'INSIGHT5'!$Z$53</definedName>
    <definedName name="RAW_TOTAL">'INSIGHT5'!$E$78:$W$78</definedName>
    <definedName name="RAW_WEIGHT">'INSIGHT5'!$E$84:$W$84</definedName>
    <definedName name="RCP_PROP_NAME">'INSIGHT5'!$Y$25</definedName>
    <definedName name="RECIPE">'INSIGHT5'!$C$27:$C$52</definedName>
    <definedName name="RECIPE_NAME">'INSIGHT5'!$B$24</definedName>
    <definedName name="RECIPE_TOTAL">'INSIGHT5'!$C$53</definedName>
    <definedName name="SETUP_AREA">'INSIGHT5'!$E$65:$W$73</definedName>
    <definedName name="TOP_TOTAL">'INSIGHT5'!$D$76</definedName>
    <definedName name="UNITY_FORMULA">'INSIGHT5'!$E$55:$W$55</definedName>
    <definedName name="UNITY_LINE">'INSIGHT5'!$E$66:$W$66</definedName>
    <definedName name="UNITY_TOTAL">'INSIGHT5'!$D$75</definedName>
    <definedName name="WEIGHT_EXPAN">'INSIGHT5'!$E$82:$W$82</definedName>
    <definedName name="WEIGHT_FUSION">'INSIGHT5'!$E$80:$W$80</definedName>
    <definedName name="WHOLE_SHEET">'INSIGHT5'!$A$1:$Z$85</definedName>
  </definedNames>
  <calcPr fullCalcOnLoad="1"/>
</workbook>
</file>

<file path=xl/sharedStrings.xml><?xml version="1.0" encoding="utf-8"?>
<sst xmlns="http://schemas.openxmlformats.org/spreadsheetml/2006/main" count="134" uniqueCount="110">
  <si>
    <t>Your Formula or Analysis Name</t>
  </si>
  <si>
    <t>Formula or</t>
  </si>
  <si>
    <t>Oxide</t>
  </si>
  <si>
    <t>Analysis</t>
  </si>
  <si>
    <t>Wt</t>
  </si>
  <si>
    <t>H2O</t>
  </si>
  <si>
    <t>BaO</t>
  </si>
  <si>
    <t>CaO</t>
  </si>
  <si>
    <t>PbO</t>
  </si>
  <si>
    <t>Li2O</t>
  </si>
  <si>
    <t>MgO</t>
  </si>
  <si>
    <t>K2O</t>
  </si>
  <si>
    <t>Na2O</t>
  </si>
  <si>
    <t>ZnO</t>
  </si>
  <si>
    <t>Fe2O3</t>
  </si>
  <si>
    <t>MnO</t>
  </si>
  <si>
    <t>TiO2</t>
  </si>
  <si>
    <t>P2O5</t>
  </si>
  <si>
    <t>SrO</t>
  </si>
  <si>
    <t>ZrO2</t>
  </si>
  <si>
    <t>F</t>
  </si>
  <si>
    <t>B2O3</t>
  </si>
  <si>
    <t>Al2O3</t>
  </si>
  <si>
    <t>SiO2</t>
  </si>
  <si>
    <t>Cone 6 White</t>
  </si>
  <si>
    <t>Formula</t>
  </si>
  <si>
    <t>Cost</t>
  </si>
  <si>
    <t>Material</t>
  </si>
  <si>
    <t>Recipe</t>
  </si>
  <si>
    <t>Weight</t>
  </si>
  <si>
    <t>Kg</t>
  </si>
  <si>
    <t>Calc</t>
  </si>
  <si>
    <t>EPK</t>
  </si>
  <si>
    <t>WOLLASTONITE</t>
  </si>
  <si>
    <t>FRIT 3134</t>
  </si>
  <si>
    <t>CUSTERSPAR</t>
  </si>
  <si>
    <t>WHITING</t>
  </si>
  <si>
    <t>ALBANY SLIP</t>
  </si>
  <si>
    <t>BALL CLAY</t>
  </si>
  <si>
    <t>BARIUM CARB</t>
  </si>
  <si>
    <t>COLEMANITE</t>
  </si>
  <si>
    <t>CORN STONE</t>
  </si>
  <si>
    <t>DOLOMITE</t>
  </si>
  <si>
    <t>F4 FELDSPAR</t>
  </si>
  <si>
    <t>IRON OXIDE</t>
  </si>
  <si>
    <t>KAOLIN</t>
  </si>
  <si>
    <t>LITH CARB</t>
  </si>
  <si>
    <t>MAG CARB</t>
  </si>
  <si>
    <t>NEPH SYENITE</t>
  </si>
  <si>
    <t>PETALITE</t>
  </si>
  <si>
    <t>POTASH SPAR</t>
  </si>
  <si>
    <t>SODA ASH</t>
  </si>
  <si>
    <t>SPODUMENE</t>
  </si>
  <si>
    <t>TALC</t>
  </si>
  <si>
    <t>ZINC OXIDE</t>
  </si>
  <si>
    <t>ZIRCOPAX</t>
  </si>
  <si>
    <t>Rcp Total</t>
  </si>
  <si>
    <t>Raw Formula</t>
  </si>
  <si>
    <t>Unity Formula</t>
  </si>
  <si>
    <t>LOI</t>
  </si>
  <si>
    <t>Recipe Prop</t>
  </si>
  <si>
    <t>Ratio</t>
  </si>
  <si>
    <t>Expan by Wt (C)</t>
  </si>
  <si>
    <t>Fusion by Wt (C)</t>
  </si>
  <si>
    <t>SETUP AREA</t>
  </si>
  <si>
    <t>Oxide Names</t>
  </si>
  <si>
    <t>Unity Array</t>
  </si>
  <si>
    <t>Ratio Array Top</t>
  </si>
  <si>
    <t>Ratio Array Bottom</t>
  </si>
  <si>
    <t>Oxide Weights</t>
  </si>
  <si>
    <t>Wt Fusion Coefficients</t>
  </si>
  <si>
    <t>Molar Fusion Coefficients</t>
  </si>
  <si>
    <t>Molar Expan Coefficients</t>
  </si>
  <si>
    <t>INTERMEDIATE RESULTS</t>
  </si>
  <si>
    <t>Totals</t>
  </si>
  <si>
    <t>Unity..</t>
  </si>
  <si>
    <t>Ratio top..</t>
  </si>
  <si>
    <t>Ratio bottom..</t>
  </si>
  <si>
    <t>% analysis..</t>
  </si>
  <si>
    <t>% except LOI..</t>
  </si>
  <si>
    <t>Fusion by wt..</t>
  </si>
  <si>
    <t>Fusion by molar..</t>
  </si>
  <si>
    <t>Expanion by wt..</t>
  </si>
  <si>
    <t>Expan by molar..</t>
  </si>
  <si>
    <t>Raw Weight calc line..</t>
  </si>
  <si>
    <t>Formula weight calc..</t>
  </si>
  <si>
    <t>IMC Calculation Worksheet - Jan 1992 - Basic Techniques</t>
  </si>
  <si>
    <t>(Note: Some columns may be hidden. Expose with Format - Column Width.</t>
  </si>
  <si>
    <t>Enter a recipe:</t>
  </si>
  <si>
    <t>Key amounts and calculate</t>
  </si>
  <si>
    <t>Set LOI:</t>
  </si>
  <si>
    <t>Go to LOI range, fill in amount and calculate</t>
  </si>
  <si>
    <t>Entering Analyses:</t>
  </si>
  <si>
    <t>Enter percentage values, and calculate</t>
  </si>
  <si>
    <t>Entering Formulas:</t>
  </si>
  <si>
    <t>Enter formula values, and calculate</t>
  </si>
  <si>
    <t>Adding a Material:</t>
  </si>
  <si>
    <t>Enter new material analysis in upper area, print results</t>
  </si>
  <si>
    <t>Insert row in MDT &amp; enter name, LOI compensated weight, cost.</t>
  </si>
  <si>
    <t>(imitate other lines for formula format)</t>
  </si>
  <si>
    <t>Adding an Oxide:</t>
  </si>
  <si>
    <t>Insert a new column in MDT and copy adjacent column</t>
  </si>
  <si>
    <t>Edit data for new oxide</t>
  </si>
  <si>
    <t>Printing:</t>
  </si>
  <si>
    <t>Hide unwanted rows and columns, select desired print range and print</t>
  </si>
  <si>
    <t>Set Unity/Ratio:</t>
  </si>
  <si>
    <t>Go to setup area and key one or zero for each oxide</t>
  </si>
  <si>
    <t>Key order in col A, sort materials</t>
  </si>
  <si>
    <t>Wt Expan Coefficients E&amp;T</t>
  </si>
  <si>
    <t>SILICA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</si>
</sst>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"/>
    <numFmt numFmtId="173" formatCode="m/d/yy\ h:mm"/>
    <numFmt numFmtId="174" formatCode="0.0"/>
    <numFmt numFmtId="175" formatCode="0.000"/>
  </numFmts>
  <fonts count="7">
    <font>
      <sz val="10"/>
      <name val="Courier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9"/>
      <name val="Geneva"/>
      <family val="0"/>
    </font>
    <font>
      <b/>
      <sz val="9"/>
      <name val="Genev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right"/>
      <protection/>
    </xf>
    <xf numFmtId="2" fontId="5" fillId="0" borderId="2" xfId="0" applyNumberFormat="1" applyFont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3" xfId="0" applyFont="1" applyBorder="1" applyAlignment="1" applyProtection="1">
      <alignment horizontal="right"/>
      <protection/>
    </xf>
    <xf numFmtId="2" fontId="5" fillId="0" borderId="4" xfId="0" applyNumberFormat="1" applyFont="1" applyBorder="1" applyAlignment="1" applyProtection="1">
      <alignment/>
      <protection locked="0"/>
    </xf>
    <xf numFmtId="2" fontId="5" fillId="0" borderId="5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3" xfId="0" applyFont="1" applyBorder="1" applyAlignment="1" applyProtection="1">
      <alignment horizontal="left"/>
      <protection/>
    </xf>
    <xf numFmtId="2" fontId="5" fillId="0" borderId="3" xfId="0" applyNumberFormat="1" applyFont="1" applyBorder="1" applyAlignment="1" applyProtection="1">
      <alignment/>
      <protection/>
    </xf>
    <xf numFmtId="2" fontId="5" fillId="0" borderId="3" xfId="0" applyNumberFormat="1" applyFont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left"/>
      <protection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174" fontId="5" fillId="0" borderId="0" xfId="0" applyNumberFormat="1" applyFont="1" applyAlignment="1" applyProtection="1">
      <alignment/>
      <protection locked="0"/>
    </xf>
    <xf numFmtId="0" fontId="5" fillId="0" borderId="11" xfId="0" applyFont="1" applyBorder="1" applyAlignment="1">
      <alignment/>
    </xf>
    <xf numFmtId="174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fill"/>
      <protection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174" fontId="5" fillId="0" borderId="0" xfId="0" applyNumberFormat="1" applyFont="1" applyBorder="1" applyAlignment="1" applyProtection="1">
      <alignment/>
      <protection locked="0"/>
    </xf>
    <xf numFmtId="174" fontId="5" fillId="0" borderId="5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5" fillId="0" borderId="5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fill"/>
      <protection/>
    </xf>
    <xf numFmtId="174" fontId="5" fillId="0" borderId="2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174" fontId="5" fillId="0" borderId="5" xfId="0" applyNumberFormat="1" applyFont="1" applyBorder="1" applyAlignment="1" applyProtection="1">
      <alignment/>
      <protection/>
    </xf>
    <xf numFmtId="174" fontId="5" fillId="0" borderId="8" xfId="0" applyNumberFormat="1" applyFont="1" applyBorder="1" applyAlignment="1" applyProtection="1">
      <alignment/>
      <protection/>
    </xf>
    <xf numFmtId="174" fontId="5" fillId="0" borderId="7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right"/>
      <protection/>
    </xf>
    <xf numFmtId="0" fontId="5" fillId="0" borderId="12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6" fillId="0" borderId="5" xfId="0" applyFont="1" applyBorder="1" applyAlignment="1" applyProtection="1">
      <alignment horizontal="right"/>
      <protection/>
    </xf>
    <xf numFmtId="0" fontId="5" fillId="0" borderId="7" xfId="0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right"/>
      <protection/>
    </xf>
    <xf numFmtId="0" fontId="5" fillId="0" borderId="8" xfId="0" applyFont="1" applyBorder="1" applyAlignment="1" applyProtection="1">
      <alignment horizontal="left"/>
      <protection/>
    </xf>
    <xf numFmtId="2" fontId="5" fillId="0" borderId="8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/>
      <protection/>
    </xf>
    <xf numFmtId="0" fontId="5" fillId="0" borderId="3" xfId="0" applyFont="1" applyBorder="1" applyAlignment="1">
      <alignment/>
    </xf>
    <xf numFmtId="175" fontId="5" fillId="0" borderId="0" xfId="0" applyNumberFormat="1" applyFont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 locked="0"/>
    </xf>
    <xf numFmtId="2" fontId="5" fillId="0" borderId="5" xfId="0" applyNumberFormat="1" applyFont="1" applyBorder="1" applyAlignment="1" applyProtection="1">
      <alignment/>
      <protection locked="0"/>
    </xf>
    <xf numFmtId="2" fontId="5" fillId="0" borderId="8" xfId="0" applyNumberFormat="1" applyFont="1" applyBorder="1" applyAlignment="1" applyProtection="1">
      <alignment/>
      <protection locked="0"/>
    </xf>
    <xf numFmtId="2" fontId="5" fillId="0" borderId="7" xfId="0" applyNumberFormat="1" applyFont="1" applyBorder="1" applyAlignment="1" applyProtection="1">
      <alignment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showGridLines="0" tabSelected="1" workbookViewId="0" topLeftCell="A1">
      <pane ySplit="960" topLeftCell="BM4" activePane="bottomLeft" state="split"/>
      <selection pane="topLeft" activeCell="D1" sqref="D1:F16384"/>
      <selection pane="bottomLeft" activeCell="B71" sqref="B71"/>
    </sheetView>
  </sheetViews>
  <sheetFormatPr defaultColWidth="9.00390625" defaultRowHeight="12.75"/>
  <cols>
    <col min="1" max="1" width="2.625" style="1" customWidth="1"/>
    <col min="2" max="2" width="11.625" style="1" customWidth="1"/>
    <col min="3" max="3" width="9.00390625" style="1" customWidth="1"/>
    <col min="4" max="4" width="7.375" style="1" customWidth="1"/>
    <col min="5" max="23" width="5.625" style="1" customWidth="1"/>
    <col min="24" max="24" width="1.625" style="1" customWidth="1"/>
    <col min="25" max="26" width="5.625" style="1" customWidth="1"/>
    <col min="27" max="27" width="7.625" style="1" customWidth="1"/>
    <col min="28" max="16384" width="9.00390625" style="1" customWidth="1"/>
  </cols>
  <sheetData>
    <row r="1" ht="12">
      <c r="B1" s="2" t="s">
        <v>0</v>
      </c>
    </row>
    <row r="2" spans="1:23" ht="12">
      <c r="A2" s="3"/>
      <c r="B2" s="3"/>
      <c r="C2" s="4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">
      <c r="A3" s="3"/>
      <c r="B3" s="56" t="s">
        <v>2</v>
      </c>
      <c r="C3" s="56" t="s">
        <v>3</v>
      </c>
      <c r="D3" s="56" t="s">
        <v>4</v>
      </c>
      <c r="E3" s="56" t="str">
        <f aca="true" t="shared" si="0" ref="E3:R3">E$65</f>
        <v>BaO</v>
      </c>
      <c r="F3" s="56" t="str">
        <f t="shared" si="0"/>
        <v>CaO</v>
      </c>
      <c r="G3" s="56" t="str">
        <f t="shared" si="0"/>
        <v>PbO</v>
      </c>
      <c r="H3" s="56" t="str">
        <f t="shared" si="0"/>
        <v>Li2O</v>
      </c>
      <c r="I3" s="56" t="str">
        <f t="shared" si="0"/>
        <v>MgO</v>
      </c>
      <c r="J3" s="56" t="str">
        <f t="shared" si="0"/>
        <v>K2O</v>
      </c>
      <c r="K3" s="56" t="str">
        <f t="shared" si="0"/>
        <v>Na2O</v>
      </c>
      <c r="L3" s="56" t="str">
        <f t="shared" si="0"/>
        <v>ZnO</v>
      </c>
      <c r="M3" s="56" t="str">
        <f t="shared" si="0"/>
        <v>Fe2O3</v>
      </c>
      <c r="N3" s="56" t="str">
        <f t="shared" si="0"/>
        <v>MnO</v>
      </c>
      <c r="O3" s="56" t="str">
        <f t="shared" si="0"/>
        <v>TiO2</v>
      </c>
      <c r="P3" s="56" t="str">
        <f t="shared" si="0"/>
        <v>P2O5</v>
      </c>
      <c r="Q3" s="56" t="str">
        <f t="shared" si="0"/>
        <v>SrO</v>
      </c>
      <c r="R3" s="56" t="str">
        <f t="shared" si="0"/>
        <v>ZrO2</v>
      </c>
      <c r="S3" s="56" t="s">
        <v>5</v>
      </c>
      <c r="T3" s="56" t="str">
        <f>T$65</f>
        <v>F</v>
      </c>
      <c r="U3" s="56" t="str">
        <f>U$65</f>
        <v>B2O3</v>
      </c>
      <c r="V3" s="56" t="str">
        <f>V$65</f>
        <v>Al2O3</v>
      </c>
      <c r="W3" s="56" t="str">
        <f>W$65</f>
        <v>SiO2</v>
      </c>
    </row>
    <row r="4" spans="1:26" ht="12">
      <c r="A4" s="5">
        <v>1</v>
      </c>
      <c r="B4" s="9" t="s">
        <v>6</v>
      </c>
      <c r="C4" s="10"/>
      <c r="D4" s="11">
        <f>E69</f>
        <v>153.4</v>
      </c>
      <c r="E4" s="12">
        <f>IF(IS_ANALYSIS,$C4/$D4,$C4)</f>
        <v>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1"/>
      <c r="Y4" s="8"/>
      <c r="Z4" s="8"/>
    </row>
    <row r="5" spans="1:26" ht="12">
      <c r="A5" s="5">
        <v>2</v>
      </c>
      <c r="B5" s="9" t="s">
        <v>7</v>
      </c>
      <c r="C5" s="10"/>
      <c r="D5" s="11">
        <f>F69</f>
        <v>56.1</v>
      </c>
      <c r="E5" s="12"/>
      <c r="F5" s="12">
        <f>IF(IS_ANALYSIS,$C5/$D5,$C5)</f>
        <v>0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Y5" s="8"/>
      <c r="Z5" s="8"/>
    </row>
    <row r="6" spans="1:26" ht="12">
      <c r="A6" s="5">
        <v>3</v>
      </c>
      <c r="B6" s="9" t="s">
        <v>8</v>
      </c>
      <c r="C6" s="10"/>
      <c r="D6" s="11">
        <f>G69</f>
        <v>223.2</v>
      </c>
      <c r="E6" s="12"/>
      <c r="F6" s="12"/>
      <c r="G6" s="12">
        <f>IF(IS_ANALYSIS,$C6/$D6,$C6)</f>
        <v>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1"/>
      <c r="Y6" s="8"/>
      <c r="Z6" s="8"/>
    </row>
    <row r="7" spans="1:26" ht="12">
      <c r="A7" s="5">
        <v>4</v>
      </c>
      <c r="B7" s="9" t="s">
        <v>9</v>
      </c>
      <c r="C7" s="10"/>
      <c r="D7" s="11">
        <f>H69</f>
        <v>29.8</v>
      </c>
      <c r="E7" s="12"/>
      <c r="F7" s="12"/>
      <c r="G7" s="12"/>
      <c r="H7" s="12">
        <f>IF(IS_ANALYSIS,$C7/$D7,$C7)</f>
        <v>0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1"/>
      <c r="Y7" s="8"/>
      <c r="Z7" s="8"/>
    </row>
    <row r="8" spans="1:26" ht="12">
      <c r="A8" s="5">
        <v>5</v>
      </c>
      <c r="B8" s="9" t="s">
        <v>10</v>
      </c>
      <c r="C8" s="10"/>
      <c r="D8" s="11">
        <f>I69</f>
        <v>40.3</v>
      </c>
      <c r="E8" s="12"/>
      <c r="F8" s="12"/>
      <c r="G8" s="12"/>
      <c r="H8" s="12"/>
      <c r="I8" s="12">
        <f>IF(IS_ANALYSIS,$C8/$D8,$C8)</f>
        <v>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1"/>
      <c r="Y8" s="8"/>
      <c r="Z8" s="8"/>
    </row>
    <row r="9" spans="1:26" ht="12">
      <c r="A9" s="5">
        <v>6</v>
      </c>
      <c r="B9" s="9" t="s">
        <v>11</v>
      </c>
      <c r="C9" s="10"/>
      <c r="D9" s="11">
        <f>J69</f>
        <v>94.2</v>
      </c>
      <c r="E9" s="12"/>
      <c r="F9" s="12"/>
      <c r="G9" s="12"/>
      <c r="H9" s="12"/>
      <c r="I9" s="12"/>
      <c r="J9" s="12">
        <f>IF(IS_ANALYSIS,$C9/$D9,$C9)</f>
        <v>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Y9" s="8"/>
      <c r="Z9" s="8"/>
    </row>
    <row r="10" spans="1:26" ht="12">
      <c r="A10" s="5">
        <v>7</v>
      </c>
      <c r="B10" s="9" t="s">
        <v>12</v>
      </c>
      <c r="C10" s="10"/>
      <c r="D10" s="11">
        <f>K69</f>
        <v>62</v>
      </c>
      <c r="E10" s="12"/>
      <c r="F10" s="12"/>
      <c r="G10" s="12"/>
      <c r="H10" s="12"/>
      <c r="I10" s="12"/>
      <c r="J10" s="12"/>
      <c r="K10" s="12">
        <f>IF(IS_ANALYSIS,$C10/$D10,$C10)</f>
        <v>0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1"/>
      <c r="Y10" s="8"/>
      <c r="Z10" s="8"/>
    </row>
    <row r="11" spans="1:26" ht="12">
      <c r="A11" s="5">
        <v>8</v>
      </c>
      <c r="B11" s="9" t="s">
        <v>13</v>
      </c>
      <c r="C11" s="10"/>
      <c r="D11" s="11">
        <f>L69</f>
        <v>81.4</v>
      </c>
      <c r="E11" s="12"/>
      <c r="F11" s="12"/>
      <c r="G11" s="12"/>
      <c r="H11" s="12"/>
      <c r="I11" s="12"/>
      <c r="J11" s="12"/>
      <c r="K11" s="12"/>
      <c r="L11" s="12">
        <f>IF(IS_ANALYSIS,$C11/$D11,$C11)</f>
        <v>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"/>
      <c r="Y11" s="8"/>
      <c r="Z11" s="8"/>
    </row>
    <row r="12" spans="1:26" ht="12">
      <c r="A12" s="5">
        <v>9</v>
      </c>
      <c r="B12" s="9" t="s">
        <v>14</v>
      </c>
      <c r="C12" s="10"/>
      <c r="D12" s="11">
        <f>M69</f>
        <v>160</v>
      </c>
      <c r="E12" s="12"/>
      <c r="F12" s="12"/>
      <c r="G12" s="12"/>
      <c r="H12" s="12"/>
      <c r="I12" s="12"/>
      <c r="J12" s="12"/>
      <c r="K12" s="12"/>
      <c r="L12" s="12"/>
      <c r="M12" s="12">
        <f>IF(IS_ANALYSIS,$C12/$D12,$C12)</f>
        <v>0</v>
      </c>
      <c r="N12" s="12"/>
      <c r="O12" s="12"/>
      <c r="P12" s="12"/>
      <c r="Q12" s="12"/>
      <c r="R12" s="12"/>
      <c r="S12" s="12"/>
      <c r="T12" s="12"/>
      <c r="U12" s="12"/>
      <c r="V12" s="12"/>
      <c r="W12" s="11"/>
      <c r="Y12" s="8"/>
      <c r="Z12" s="8"/>
    </row>
    <row r="13" spans="1:26" ht="12">
      <c r="A13" s="5">
        <v>10</v>
      </c>
      <c r="B13" s="9" t="s">
        <v>15</v>
      </c>
      <c r="C13" s="10"/>
      <c r="D13" s="11">
        <f>N69</f>
        <v>71</v>
      </c>
      <c r="E13" s="12"/>
      <c r="F13" s="12"/>
      <c r="G13" s="12"/>
      <c r="H13" s="12"/>
      <c r="I13" s="12"/>
      <c r="J13" s="12"/>
      <c r="K13" s="12"/>
      <c r="L13" s="12"/>
      <c r="M13" s="12"/>
      <c r="N13" s="12">
        <f>IF(IS_ANALYSIS,$C13/$D13,$C13)</f>
        <v>0</v>
      </c>
      <c r="O13" s="12"/>
      <c r="P13" s="12"/>
      <c r="Q13" s="12"/>
      <c r="R13" s="12"/>
      <c r="S13" s="12"/>
      <c r="T13" s="12"/>
      <c r="U13" s="12"/>
      <c r="V13" s="12"/>
      <c r="W13" s="11"/>
      <c r="Y13" s="8"/>
      <c r="Z13" s="8"/>
    </row>
    <row r="14" spans="1:26" ht="12">
      <c r="A14" s="5">
        <v>11</v>
      </c>
      <c r="B14" s="9" t="s">
        <v>16</v>
      </c>
      <c r="C14" s="10"/>
      <c r="D14" s="11">
        <f>O69</f>
        <v>79.7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f>IF(IS_ANALYSIS,$C14/$D14,$C14)</f>
        <v>0</v>
      </c>
      <c r="P14" s="12"/>
      <c r="Q14" s="12"/>
      <c r="R14" s="12"/>
      <c r="S14" s="12"/>
      <c r="T14" s="12"/>
      <c r="U14" s="12"/>
      <c r="V14" s="12"/>
      <c r="W14" s="11"/>
      <c r="Y14" s="8"/>
      <c r="Z14" s="8"/>
    </row>
    <row r="15" spans="1:26" ht="12">
      <c r="A15" s="5">
        <v>12</v>
      </c>
      <c r="B15" s="9" t="s">
        <v>17</v>
      </c>
      <c r="C15" s="10"/>
      <c r="D15" s="11">
        <f>P69</f>
        <v>142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>IF(IS_ANALYSIS,$C15/$D15,$C15)</f>
        <v>0</v>
      </c>
      <c r="Q15" s="12"/>
      <c r="R15" s="12"/>
      <c r="S15" s="12"/>
      <c r="T15" s="12"/>
      <c r="U15" s="12"/>
      <c r="V15" s="12"/>
      <c r="W15" s="11"/>
      <c r="Y15" s="8"/>
      <c r="Z15" s="8"/>
    </row>
    <row r="16" spans="1:26" ht="12">
      <c r="A16" s="5">
        <v>13</v>
      </c>
      <c r="B16" s="9" t="s">
        <v>18</v>
      </c>
      <c r="C16" s="10"/>
      <c r="D16" s="11">
        <f>Q69</f>
        <v>103.6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f>IF(IS_ANALYSIS,$C16/$D16,$C16)</f>
        <v>0</v>
      </c>
      <c r="R16" s="12"/>
      <c r="S16" s="12"/>
      <c r="T16" s="12"/>
      <c r="U16" s="12"/>
      <c r="V16" s="12"/>
      <c r="W16" s="11"/>
      <c r="Y16" s="8"/>
      <c r="Z16" s="8"/>
    </row>
    <row r="17" spans="1:26" ht="12">
      <c r="A17" s="5">
        <v>14</v>
      </c>
      <c r="B17" s="9" t="s">
        <v>19</v>
      </c>
      <c r="C17" s="10"/>
      <c r="D17" s="11">
        <f>R69</f>
        <v>123.2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>IF(IS_ANALYSIS,$C17/$D17,$C17)</f>
        <v>0</v>
      </c>
      <c r="S17" s="12"/>
      <c r="T17" s="12"/>
      <c r="U17" s="12"/>
      <c r="V17" s="12"/>
      <c r="W17" s="11"/>
      <c r="Y17" s="8"/>
      <c r="Z17" s="8"/>
    </row>
    <row r="18" spans="1:26" ht="12">
      <c r="A18" s="5">
        <v>15</v>
      </c>
      <c r="B18" s="9" t="s">
        <v>5</v>
      </c>
      <c r="C18" s="10"/>
      <c r="D18" s="11">
        <v>18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f>IF(IS_ANALYSIS,$C18/$D18,$C18)</f>
        <v>0</v>
      </c>
      <c r="T18" s="12"/>
      <c r="U18" s="12"/>
      <c r="V18" s="12"/>
      <c r="W18" s="11"/>
      <c r="Y18" s="8"/>
      <c r="Z18" s="8"/>
    </row>
    <row r="19" spans="1:26" ht="12">
      <c r="A19" s="5">
        <v>16</v>
      </c>
      <c r="B19" s="9" t="s">
        <v>20</v>
      </c>
      <c r="C19" s="10"/>
      <c r="D19" s="11">
        <f>T69</f>
        <v>19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f>IF(IS_ANALYSIS,$C19/$D19,$C19)</f>
        <v>0</v>
      </c>
      <c r="U19" s="12"/>
      <c r="V19" s="12"/>
      <c r="W19" s="11"/>
      <c r="Y19" s="8"/>
      <c r="Z19" s="8"/>
    </row>
    <row r="20" spans="1:26" ht="12">
      <c r="A20" s="5">
        <v>17</v>
      </c>
      <c r="B20" s="9" t="s">
        <v>21</v>
      </c>
      <c r="C20" s="10"/>
      <c r="D20" s="11">
        <f>U69</f>
        <v>69.6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>IF(IS_ANALYSIS,$C20/$D20,$C20)</f>
        <v>0</v>
      </c>
      <c r="V20" s="12"/>
      <c r="W20" s="11"/>
      <c r="Y20" s="8"/>
      <c r="Z20" s="8"/>
    </row>
    <row r="21" spans="1:26" ht="12">
      <c r="A21" s="5">
        <v>18</v>
      </c>
      <c r="B21" s="9" t="s">
        <v>22</v>
      </c>
      <c r="C21" s="10"/>
      <c r="D21" s="11">
        <f>V69</f>
        <v>102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>
        <f>IF(IS_ANALYSIS,$C21/$D21,$C21)</f>
        <v>0</v>
      </c>
      <c r="W21" s="11"/>
      <c r="Y21" s="8"/>
      <c r="Z21" s="8"/>
    </row>
    <row r="22" spans="1:26" ht="12">
      <c r="A22" s="5">
        <v>19</v>
      </c>
      <c r="B22" s="9" t="s">
        <v>23</v>
      </c>
      <c r="C22" s="10"/>
      <c r="D22" s="11">
        <f>W69</f>
        <v>60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1">
        <f>IF(IS_ANALYSIS,$C22/$D22,$C22)</f>
        <v>0</v>
      </c>
      <c r="Y22" s="8"/>
      <c r="Z22" s="8"/>
    </row>
    <row r="23" spans="2:23" ht="12">
      <c r="B23" s="33"/>
      <c r="C23" s="7">
        <f>SUM(FORMULA)</f>
        <v>0</v>
      </c>
      <c r="D23" s="60">
        <f>IF(FORMULA_TOTAL&gt;50,1,0)</f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2:3" ht="12">
      <c r="B24" s="2" t="s">
        <v>24</v>
      </c>
      <c r="C24" s="8"/>
    </row>
    <row r="25" spans="2:26" ht="12">
      <c r="B25" s="3"/>
      <c r="C25" s="12"/>
      <c r="D25" s="4" t="s">
        <v>25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Y25" s="15" t="s">
        <v>26</v>
      </c>
      <c r="Z25" s="14" t="str">
        <f>RCP_PROP_NAME</f>
        <v>Cost</v>
      </c>
    </row>
    <row r="26" spans="2:26" ht="12">
      <c r="B26" s="57" t="s">
        <v>27</v>
      </c>
      <c r="C26" s="58" t="s">
        <v>28</v>
      </c>
      <c r="D26" s="56" t="s">
        <v>29</v>
      </c>
      <c r="E26" s="56" t="str">
        <f aca="true" t="shared" si="1" ref="E26:R26">E$65</f>
        <v>BaO</v>
      </c>
      <c r="F26" s="56" t="str">
        <f t="shared" si="1"/>
        <v>CaO</v>
      </c>
      <c r="G26" s="56" t="str">
        <f t="shared" si="1"/>
        <v>PbO</v>
      </c>
      <c r="H26" s="56" t="str">
        <f t="shared" si="1"/>
        <v>Li2O</v>
      </c>
      <c r="I26" s="56" t="str">
        <f t="shared" si="1"/>
        <v>MgO</v>
      </c>
      <c r="J26" s="56" t="str">
        <f t="shared" si="1"/>
        <v>K2O</v>
      </c>
      <c r="K26" s="56" t="str">
        <f t="shared" si="1"/>
        <v>Na2O</v>
      </c>
      <c r="L26" s="56" t="str">
        <f t="shared" si="1"/>
        <v>ZnO</v>
      </c>
      <c r="M26" s="56" t="str">
        <f t="shared" si="1"/>
        <v>Fe2O3</v>
      </c>
      <c r="N26" s="56" t="str">
        <f t="shared" si="1"/>
        <v>MnO</v>
      </c>
      <c r="O26" s="56" t="str">
        <f t="shared" si="1"/>
        <v>TiO2</v>
      </c>
      <c r="P26" s="56" t="str">
        <f t="shared" si="1"/>
        <v>P2O5</v>
      </c>
      <c r="Q26" s="56" t="str">
        <f t="shared" si="1"/>
        <v>SrO</v>
      </c>
      <c r="R26" s="56" t="str">
        <f t="shared" si="1"/>
        <v>ZrO2</v>
      </c>
      <c r="S26" s="56" t="s">
        <v>5</v>
      </c>
      <c r="T26" s="56" t="str">
        <f>T$65</f>
        <v>F</v>
      </c>
      <c r="U26" s="56" t="str">
        <f>U$65</f>
        <v>B2O3</v>
      </c>
      <c r="V26" s="56" t="str">
        <f>V$65</f>
        <v>Al2O3</v>
      </c>
      <c r="W26" s="56" t="str">
        <f>W$65</f>
        <v>SiO2</v>
      </c>
      <c r="Y26" s="56" t="s">
        <v>30</v>
      </c>
      <c r="Z26" s="56" t="s">
        <v>31</v>
      </c>
    </row>
    <row r="27" spans="1:28" ht="12">
      <c r="A27" s="14">
        <v>99</v>
      </c>
      <c r="B27" s="18" t="s">
        <v>39</v>
      </c>
      <c r="C27" s="10">
        <v>5</v>
      </c>
      <c r="D27" s="11">
        <v>197.4</v>
      </c>
      <c r="E27" s="12">
        <f>$C27/$D27</f>
        <v>0.025329280648429583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1"/>
      <c r="Y27" s="19">
        <v>0.59</v>
      </c>
      <c r="Z27" s="11">
        <f>Y27*C27</f>
        <v>2.9499999999999997</v>
      </c>
      <c r="AB27" s="8"/>
    </row>
    <row r="28" spans="1:26" ht="12">
      <c r="A28" s="14">
        <v>99</v>
      </c>
      <c r="B28" s="18" t="s">
        <v>46</v>
      </c>
      <c r="C28" s="10">
        <v>5</v>
      </c>
      <c r="D28" s="11">
        <v>73.4</v>
      </c>
      <c r="E28" s="12"/>
      <c r="F28" s="12"/>
      <c r="G28" s="12"/>
      <c r="H28" s="12">
        <f>$C28/$D28</f>
        <v>0.06811989100817438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1"/>
      <c r="Y28" s="19">
        <v>7.21</v>
      </c>
      <c r="Z28" s="11">
        <f>Y28*C28</f>
        <v>36.05</v>
      </c>
    </row>
    <row r="29" spans="1:28" ht="12">
      <c r="A29" s="14">
        <v>99</v>
      </c>
      <c r="B29" s="18" t="s">
        <v>36</v>
      </c>
      <c r="C29" s="10">
        <v>5</v>
      </c>
      <c r="D29" s="11">
        <v>100</v>
      </c>
      <c r="E29" s="12"/>
      <c r="F29" s="12">
        <f>$C29/$D29</f>
        <v>0.05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1"/>
      <c r="Y29" s="19">
        <v>0.12</v>
      </c>
      <c r="Z29" s="11">
        <f>Y29*C29</f>
        <v>0.6</v>
      </c>
      <c r="AB29" s="8"/>
    </row>
    <row r="30" spans="1:28" ht="12">
      <c r="A30" s="14">
        <v>99</v>
      </c>
      <c r="B30" s="18" t="s">
        <v>42</v>
      </c>
      <c r="C30" s="10">
        <v>15</v>
      </c>
      <c r="D30" s="11">
        <v>184</v>
      </c>
      <c r="E30" s="12"/>
      <c r="F30" s="12">
        <f>$C30/$D30</f>
        <v>0.08152173913043478</v>
      </c>
      <c r="G30" s="12"/>
      <c r="H30" s="12"/>
      <c r="I30" s="12">
        <f>$C30/$D30</f>
        <v>0.08152173913043478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1"/>
      <c r="Y30" s="19">
        <v>0.13</v>
      </c>
      <c r="Z30" s="11">
        <f>Y30*C30</f>
        <v>1.9500000000000002</v>
      </c>
      <c r="AB30" s="8"/>
    </row>
    <row r="31" spans="1:26" ht="12">
      <c r="A31" s="14">
        <v>99</v>
      </c>
      <c r="B31" s="18" t="s">
        <v>51</v>
      </c>
      <c r="C31" s="10">
        <v>15</v>
      </c>
      <c r="D31" s="11">
        <v>105.98</v>
      </c>
      <c r="E31" s="12"/>
      <c r="F31" s="12"/>
      <c r="G31" s="12"/>
      <c r="H31" s="12"/>
      <c r="I31" s="12"/>
      <c r="J31" s="12"/>
      <c r="K31" s="12">
        <f>$C31/$D31</f>
        <v>0.14153613889413097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1"/>
      <c r="Y31" s="19">
        <v>0.45</v>
      </c>
      <c r="Z31" s="11">
        <f>Y31*C31</f>
        <v>6.75</v>
      </c>
    </row>
    <row r="32" spans="1:28" ht="12">
      <c r="A32" s="14">
        <v>99</v>
      </c>
      <c r="B32" s="18" t="s">
        <v>109</v>
      </c>
      <c r="C32" s="10">
        <v>50</v>
      </c>
      <c r="D32" s="11">
        <v>60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1">
        <f>$C32/$D32*1</f>
        <v>0.8333333333333334</v>
      </c>
      <c r="Y32" s="19">
        <v>0.19</v>
      </c>
      <c r="Z32" s="11">
        <f>Y32*C32</f>
        <v>9.5</v>
      </c>
      <c r="AB32" s="8"/>
    </row>
    <row r="33" spans="1:28" ht="12">
      <c r="A33" s="14">
        <v>99</v>
      </c>
      <c r="B33" s="18" t="s">
        <v>37</v>
      </c>
      <c r="C33" s="10"/>
      <c r="D33" s="11">
        <v>697.09</v>
      </c>
      <c r="E33" s="12"/>
      <c r="F33" s="12">
        <f>$C33/$D33*0.7223</f>
        <v>0</v>
      </c>
      <c r="G33" s="12"/>
      <c r="H33" s="12"/>
      <c r="I33" s="12">
        <f>$C33/$D33*0.468</f>
        <v>0</v>
      </c>
      <c r="J33" s="12">
        <f>$C33/$D33*0.237</f>
        <v>0</v>
      </c>
      <c r="K33" s="12">
        <f>$C33/$D33*0.0901</f>
        <v>0</v>
      </c>
      <c r="L33" s="12"/>
      <c r="M33" s="12">
        <f>$C33/$D33*0.227</f>
        <v>0</v>
      </c>
      <c r="N33" s="12"/>
      <c r="O33" s="12">
        <f>$C33/$D33*0.035</f>
        <v>0</v>
      </c>
      <c r="P33" s="12"/>
      <c r="Q33" s="12"/>
      <c r="R33" s="12"/>
      <c r="S33" s="12"/>
      <c r="T33" s="12"/>
      <c r="U33" s="12"/>
      <c r="V33" s="12">
        <f>$C33/$D33</f>
        <v>0</v>
      </c>
      <c r="W33" s="11">
        <f>$C33/$D33*6.707</f>
        <v>0</v>
      </c>
      <c r="Y33" s="19">
        <v>1.75</v>
      </c>
      <c r="Z33" s="11">
        <f>Y33*C33</f>
        <v>0</v>
      </c>
      <c r="AB33" s="8"/>
    </row>
    <row r="34" spans="1:28" ht="12">
      <c r="A34" s="14">
        <v>99</v>
      </c>
      <c r="B34" s="18" t="s">
        <v>38</v>
      </c>
      <c r="C34" s="10"/>
      <c r="D34" s="11">
        <v>321.4</v>
      </c>
      <c r="E34" s="12"/>
      <c r="F34" s="12">
        <f>$C34/$D34*0.01147</f>
        <v>0</v>
      </c>
      <c r="G34" s="12"/>
      <c r="H34" s="12"/>
      <c r="I34" s="12">
        <f>$C34/$D34*0.01597</f>
        <v>0</v>
      </c>
      <c r="J34" s="12">
        <f>$C34/$D34*0.0307</f>
        <v>0</v>
      </c>
      <c r="K34" s="12">
        <f>$C34/$D34*0.02076</f>
        <v>0</v>
      </c>
      <c r="L34" s="12"/>
      <c r="M34" s="12">
        <f>$C34/$D34*0.0161</f>
        <v>0</v>
      </c>
      <c r="N34" s="12"/>
      <c r="O34" s="12">
        <f>$C34/$D34*0.06056</f>
        <v>0</v>
      </c>
      <c r="P34" s="12"/>
      <c r="Q34" s="12"/>
      <c r="R34" s="12"/>
      <c r="S34" s="12"/>
      <c r="T34" s="12"/>
      <c r="U34" s="12"/>
      <c r="V34" s="12">
        <f>$C34/$D34</f>
        <v>0</v>
      </c>
      <c r="W34" s="11">
        <f>$C34/$D34*2.78328</f>
        <v>0</v>
      </c>
      <c r="Y34" s="19">
        <v>0.35</v>
      </c>
      <c r="Z34" s="11">
        <f>Y34*C34</f>
        <v>0</v>
      </c>
      <c r="AB34" s="8"/>
    </row>
    <row r="35" spans="1:28" ht="12">
      <c r="A35" s="14">
        <v>99</v>
      </c>
      <c r="B35" s="18" t="s">
        <v>40</v>
      </c>
      <c r="C35" s="10"/>
      <c r="D35" s="11">
        <v>206</v>
      </c>
      <c r="E35" s="12"/>
      <c r="F35" s="12">
        <f>$C35/$D35</f>
        <v>0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>
        <f>$C35/$D35*1.5</f>
        <v>0</v>
      </c>
      <c r="V35" s="12"/>
      <c r="W35" s="11"/>
      <c r="Y35" s="19">
        <v>0.5</v>
      </c>
      <c r="Z35" s="11">
        <f>Y35*C35</f>
        <v>0</v>
      </c>
      <c r="AB35" s="8"/>
    </row>
    <row r="36" spans="1:28" ht="12">
      <c r="A36" s="14">
        <v>99</v>
      </c>
      <c r="B36" s="18" t="s">
        <v>41</v>
      </c>
      <c r="C36" s="10"/>
      <c r="D36" s="11">
        <v>725.43</v>
      </c>
      <c r="E36" s="12"/>
      <c r="F36" s="12">
        <f>$C36/$D36*0.234</f>
        <v>0</v>
      </c>
      <c r="G36" s="12"/>
      <c r="H36" s="12"/>
      <c r="I36" s="12">
        <f>$C36/$D36*0.025</f>
        <v>0</v>
      </c>
      <c r="J36" s="12">
        <f>$C36/$D36*0.332</f>
        <v>0</v>
      </c>
      <c r="K36" s="12">
        <f>$C36/$D36*0.386</f>
        <v>0</v>
      </c>
      <c r="L36" s="12"/>
      <c r="M36" s="12">
        <f>$C36/$D36*0.009</f>
        <v>0</v>
      </c>
      <c r="N36" s="12"/>
      <c r="O36" s="12">
        <f>$C36/$D36*0.014</f>
        <v>0</v>
      </c>
      <c r="P36" s="12"/>
      <c r="Q36" s="12"/>
      <c r="R36" s="12"/>
      <c r="S36" s="12"/>
      <c r="T36" s="12"/>
      <c r="U36" s="12"/>
      <c r="V36" s="12">
        <f>$C36/$D36*1.161</f>
        <v>0</v>
      </c>
      <c r="W36" s="11">
        <f>$C36/$D36*8.918</f>
        <v>0</v>
      </c>
      <c r="Y36" s="19">
        <v>1.18</v>
      </c>
      <c r="Z36" s="11">
        <f>Y36*C36</f>
        <v>0</v>
      </c>
      <c r="AB36" s="8"/>
    </row>
    <row r="37" spans="1:28" ht="12">
      <c r="A37" s="14">
        <v>99</v>
      </c>
      <c r="B37" s="18" t="s">
        <v>35</v>
      </c>
      <c r="C37" s="10"/>
      <c r="D37" s="11">
        <v>617.1</v>
      </c>
      <c r="E37" s="12"/>
      <c r="F37" s="12">
        <f>$C37/$D37*0.03</f>
        <v>0</v>
      </c>
      <c r="G37" s="12"/>
      <c r="H37" s="12"/>
      <c r="I37" s="12"/>
      <c r="J37" s="12">
        <f>$C37/$D37*0.66</f>
        <v>0</v>
      </c>
      <c r="K37" s="12">
        <f>$C37/$D37*0.3</f>
        <v>0</v>
      </c>
      <c r="L37" s="12"/>
      <c r="M37" s="12">
        <f>$C37/$D37*0.01</f>
        <v>0</v>
      </c>
      <c r="N37" s="12"/>
      <c r="O37" s="12"/>
      <c r="P37" s="12"/>
      <c r="Q37" s="12"/>
      <c r="R37" s="12"/>
      <c r="S37" s="12"/>
      <c r="T37" s="12"/>
      <c r="U37" s="12"/>
      <c r="V37" s="12">
        <f>$C37/$D37*1.04</f>
        <v>0</v>
      </c>
      <c r="W37" s="11">
        <f>$C37/$D37*7.1</f>
        <v>0</v>
      </c>
      <c r="Y37" s="19"/>
      <c r="Z37" s="11"/>
      <c r="AB37" s="8"/>
    </row>
    <row r="38" spans="1:28" ht="12">
      <c r="A38" s="14">
        <v>99</v>
      </c>
      <c r="B38" s="18" t="s">
        <v>32</v>
      </c>
      <c r="C38" s="10"/>
      <c r="D38" s="11">
        <v>270.346</v>
      </c>
      <c r="E38" s="12"/>
      <c r="F38" s="12">
        <f>$C38/$D38*0.01</f>
        <v>0</v>
      </c>
      <c r="G38" s="12"/>
      <c r="H38" s="12"/>
      <c r="I38" s="12">
        <f>$C38/$D38*0.01</f>
        <v>0</v>
      </c>
      <c r="J38" s="12">
        <f>$C38/$D38*0.01</f>
        <v>0</v>
      </c>
      <c r="K38" s="12"/>
      <c r="L38" s="12"/>
      <c r="M38" s="12">
        <f>$C38/$D38*0.01</f>
        <v>0</v>
      </c>
      <c r="N38" s="12"/>
      <c r="O38" s="12">
        <f>$C38/$D38*0.01</f>
        <v>0</v>
      </c>
      <c r="P38" s="12"/>
      <c r="Q38" s="12"/>
      <c r="R38" s="12"/>
      <c r="S38" s="12"/>
      <c r="T38" s="12"/>
      <c r="U38" s="12"/>
      <c r="V38" s="12">
        <f>$C38/$D38</f>
        <v>0</v>
      </c>
      <c r="W38" s="11">
        <f>$C38/$D38*2.1</f>
        <v>0</v>
      </c>
      <c r="Y38" s="19">
        <v>0</v>
      </c>
      <c r="Z38" s="11">
        <f>Y38*C38</f>
        <v>0</v>
      </c>
      <c r="AB38" s="8"/>
    </row>
    <row r="39" spans="1:28" ht="12">
      <c r="A39" s="14">
        <v>99</v>
      </c>
      <c r="B39" s="18" t="s">
        <v>43</v>
      </c>
      <c r="C39" s="10"/>
      <c r="D39" s="11">
        <v>520.62</v>
      </c>
      <c r="E39" s="12"/>
      <c r="F39" s="12">
        <f>$C39/$D39*0.158</f>
        <v>0</v>
      </c>
      <c r="G39" s="12"/>
      <c r="H39" s="12"/>
      <c r="I39" s="12"/>
      <c r="J39" s="12">
        <f>$C39/$D39*0.265</f>
        <v>0</v>
      </c>
      <c r="K39" s="12">
        <f>$C39/$D39*0.579</f>
        <v>0</v>
      </c>
      <c r="L39" s="12"/>
      <c r="M39" s="12">
        <f>$C39/$D39*0.001</f>
        <v>0</v>
      </c>
      <c r="N39" s="12"/>
      <c r="O39" s="12"/>
      <c r="P39" s="12"/>
      <c r="Q39" s="12"/>
      <c r="R39" s="12"/>
      <c r="S39" s="12"/>
      <c r="T39" s="12"/>
      <c r="U39" s="12"/>
      <c r="V39" s="12">
        <f>$C39/$D39*1</f>
        <v>0</v>
      </c>
      <c r="W39" s="11">
        <f>$C39/$D39*5.794</f>
        <v>0</v>
      </c>
      <c r="Y39" s="19">
        <v>0.45</v>
      </c>
      <c r="Z39" s="11">
        <f>Y39*C39</f>
        <v>0</v>
      </c>
      <c r="AB39" s="8"/>
    </row>
    <row r="40" spans="1:28" ht="12">
      <c r="A40" s="14">
        <v>99</v>
      </c>
      <c r="B40" s="18" t="s">
        <v>34</v>
      </c>
      <c r="C40" s="10"/>
      <c r="D40" s="11">
        <v>190.636</v>
      </c>
      <c r="E40" s="12"/>
      <c r="F40" s="12">
        <f>$C40/$D40*0.68</f>
        <v>0</v>
      </c>
      <c r="G40" s="12"/>
      <c r="H40" s="12"/>
      <c r="I40" s="12"/>
      <c r="J40" s="12"/>
      <c r="K40" s="12">
        <f>$C40/$D40*0.32</f>
        <v>0</v>
      </c>
      <c r="L40" s="12"/>
      <c r="M40" s="12"/>
      <c r="N40" s="12"/>
      <c r="O40" s="12"/>
      <c r="P40" s="12"/>
      <c r="Q40" s="12"/>
      <c r="R40" s="12"/>
      <c r="S40" s="12"/>
      <c r="T40" s="12"/>
      <c r="U40" s="12">
        <f>$C40/$D40*0.63</f>
        <v>0</v>
      </c>
      <c r="V40" s="12"/>
      <c r="W40" s="11">
        <f>$C40/$D40*1.48</f>
        <v>0</v>
      </c>
      <c r="Y40" s="19"/>
      <c r="Z40" s="11"/>
      <c r="AB40" s="8"/>
    </row>
    <row r="41" spans="1:28" ht="12">
      <c r="A41" s="14">
        <v>99</v>
      </c>
      <c r="B41" s="18" t="s">
        <v>44</v>
      </c>
      <c r="C41" s="10"/>
      <c r="D41" s="11">
        <v>160</v>
      </c>
      <c r="E41" s="12"/>
      <c r="F41" s="12"/>
      <c r="G41" s="12"/>
      <c r="H41" s="12"/>
      <c r="I41" s="12"/>
      <c r="J41" s="12"/>
      <c r="K41" s="12"/>
      <c r="L41" s="12"/>
      <c r="M41" s="12">
        <f>$C41/$D41*1</f>
        <v>0</v>
      </c>
      <c r="N41" s="12"/>
      <c r="O41" s="12"/>
      <c r="P41" s="12"/>
      <c r="Q41" s="12"/>
      <c r="R41" s="12"/>
      <c r="S41" s="12"/>
      <c r="T41" s="12"/>
      <c r="U41" s="12"/>
      <c r="V41" s="12"/>
      <c r="W41" s="11"/>
      <c r="Y41" s="19">
        <v>2.9</v>
      </c>
      <c r="Z41" s="11">
        <f>Y41*C41</f>
        <v>0</v>
      </c>
      <c r="AB41" s="8"/>
    </row>
    <row r="42" spans="1:28" ht="12">
      <c r="A42" s="14">
        <v>99</v>
      </c>
      <c r="B42" s="18" t="s">
        <v>45</v>
      </c>
      <c r="C42" s="10"/>
      <c r="D42" s="11">
        <v>258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>
        <f>$C42/$D42*1</f>
        <v>0</v>
      </c>
      <c r="W42" s="11">
        <f>$C42/$D42*2</f>
        <v>0</v>
      </c>
      <c r="Y42" s="19">
        <v>0.24</v>
      </c>
      <c r="Z42" s="11">
        <f>Y42*C42</f>
        <v>0</v>
      </c>
      <c r="AB42" s="8"/>
    </row>
    <row r="43" spans="1:26" ht="12">
      <c r="A43" s="14">
        <v>99</v>
      </c>
      <c r="B43" s="18" t="s">
        <v>47</v>
      </c>
      <c r="C43" s="10"/>
      <c r="D43" s="11">
        <v>84.31</v>
      </c>
      <c r="E43" s="12"/>
      <c r="F43" s="12"/>
      <c r="G43" s="12"/>
      <c r="H43" s="12"/>
      <c r="I43" s="12">
        <f>$C43/$D43</f>
        <v>0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1"/>
      <c r="Y43" s="19">
        <v>4.2</v>
      </c>
      <c r="Z43" s="11">
        <f>Y43*C43</f>
        <v>0</v>
      </c>
    </row>
    <row r="44" spans="1:26" ht="12">
      <c r="A44" s="14">
        <v>99</v>
      </c>
      <c r="B44" s="20" t="s">
        <v>48</v>
      </c>
      <c r="C44" s="10"/>
      <c r="D44" s="11">
        <v>446.4</v>
      </c>
      <c r="E44" s="12"/>
      <c r="F44" s="12">
        <f>$C44/$D44*0.056</f>
        <v>0</v>
      </c>
      <c r="G44" s="12"/>
      <c r="H44" s="12"/>
      <c r="I44" s="12">
        <f>$C44/$D44*0.011</f>
        <v>0</v>
      </c>
      <c r="J44" s="12">
        <f>$C44/$D44*0.22</f>
        <v>0</v>
      </c>
      <c r="K44" s="12">
        <f>$C44/$D44*0.713</f>
        <v>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>
        <f>$C44/$D44*1.04</f>
        <v>0</v>
      </c>
      <c r="W44" s="11">
        <f>$C44/$D44*4.53</f>
        <v>0</v>
      </c>
      <c r="Y44" s="19">
        <v>0.33</v>
      </c>
      <c r="Z44" s="11">
        <f>Y44*C44</f>
        <v>0</v>
      </c>
    </row>
    <row r="45" spans="1:28" ht="12">
      <c r="A45" s="14">
        <v>99</v>
      </c>
      <c r="B45" s="18" t="s">
        <v>49</v>
      </c>
      <c r="C45" s="10"/>
      <c r="D45" s="11">
        <v>662.33</v>
      </c>
      <c r="E45" s="12"/>
      <c r="F45" s="12"/>
      <c r="G45" s="12"/>
      <c r="H45" s="12">
        <f>$C45/$D45*0.956</f>
        <v>0</v>
      </c>
      <c r="I45" s="12"/>
      <c r="J45" s="12">
        <f>$C45/$D45*0.018</f>
        <v>0</v>
      </c>
      <c r="K45" s="12">
        <f>$C45/$D45*0.027</f>
        <v>0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>
        <f>$C45/$D45*1.136</f>
        <v>0</v>
      </c>
      <c r="W45" s="11">
        <f>$C45/$D45*8.5</f>
        <v>0</v>
      </c>
      <c r="Y45" s="19">
        <v>1.12</v>
      </c>
      <c r="Z45" s="11">
        <f>Y45*C45</f>
        <v>0</v>
      </c>
      <c r="AB45" s="8"/>
    </row>
    <row r="46" spans="1:28" ht="12">
      <c r="A46" s="14">
        <v>99</v>
      </c>
      <c r="B46" s="18" t="s">
        <v>50</v>
      </c>
      <c r="C46" s="10"/>
      <c r="D46" s="11">
        <v>556.2</v>
      </c>
      <c r="E46" s="12"/>
      <c r="F46" s="12"/>
      <c r="G46" s="12"/>
      <c r="H46" s="12"/>
      <c r="I46" s="12"/>
      <c r="J46" s="12">
        <f>$C46/$D46</f>
        <v>0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f>$C46/$D46*1</f>
        <v>0</v>
      </c>
      <c r="W46" s="11">
        <f>$C46/$D46*6</f>
        <v>0</v>
      </c>
      <c r="Y46" s="19">
        <v>0.19</v>
      </c>
      <c r="Z46" s="11">
        <f>Y46*C46</f>
        <v>0</v>
      </c>
      <c r="AB46" s="8"/>
    </row>
    <row r="47" spans="1:26" ht="12">
      <c r="A47" s="14">
        <v>99</v>
      </c>
      <c r="B47" s="18" t="s">
        <v>52</v>
      </c>
      <c r="C47" s="10"/>
      <c r="D47" s="11">
        <v>400.03</v>
      </c>
      <c r="E47" s="12"/>
      <c r="F47" s="12">
        <f>$C47/$D47*0.008</f>
        <v>0</v>
      </c>
      <c r="G47" s="12"/>
      <c r="H47" s="12">
        <f>$C47/$D47*0.907</f>
        <v>0</v>
      </c>
      <c r="I47" s="12">
        <f>$C47/$D47*0.013</f>
        <v>0</v>
      </c>
      <c r="J47" s="12">
        <f>$C47/$D47*0.029</f>
        <v>0</v>
      </c>
      <c r="K47" s="12">
        <f>$C47/$D47*0.03</f>
        <v>0</v>
      </c>
      <c r="L47" s="12"/>
      <c r="M47" s="12">
        <f>$C47/$D47*0.013</f>
        <v>0</v>
      </c>
      <c r="N47" s="12"/>
      <c r="O47" s="12"/>
      <c r="P47" s="12"/>
      <c r="Q47" s="12"/>
      <c r="R47" s="12"/>
      <c r="S47" s="12"/>
      <c r="T47" s="12"/>
      <c r="U47" s="12"/>
      <c r="V47" s="12">
        <f>$C47/$D47*1.11</f>
        <v>0</v>
      </c>
      <c r="W47" s="11">
        <f>$C47/$D47*4.181</f>
        <v>0</v>
      </c>
      <c r="Y47" s="19">
        <v>1.32</v>
      </c>
      <c r="Z47" s="11">
        <f>Y47*C47</f>
        <v>0</v>
      </c>
    </row>
    <row r="48" spans="1:26" ht="12">
      <c r="A48" s="14">
        <v>99</v>
      </c>
      <c r="B48" s="18" t="s">
        <v>53</v>
      </c>
      <c r="C48" s="10"/>
      <c r="D48" s="11">
        <v>126.23</v>
      </c>
      <c r="E48" s="12"/>
      <c r="F48" s="12"/>
      <c r="G48" s="12"/>
      <c r="H48" s="12"/>
      <c r="I48" s="12">
        <f>$C48/$D48</f>
        <v>0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1">
        <f>$C48/$D48*1.333</f>
        <v>0</v>
      </c>
      <c r="Y48" s="19">
        <v>0.25</v>
      </c>
      <c r="Z48" s="11">
        <f>Y48*C48</f>
        <v>0</v>
      </c>
    </row>
    <row r="49" spans="1:28" ht="12">
      <c r="A49" s="14">
        <v>99</v>
      </c>
      <c r="B49" s="18" t="s">
        <v>33</v>
      </c>
      <c r="C49" s="10"/>
      <c r="D49" s="11">
        <v>116.1</v>
      </c>
      <c r="E49" s="12"/>
      <c r="F49" s="12">
        <f>$C49/$D49</f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1">
        <f>$C49/$D49*1</f>
        <v>0</v>
      </c>
      <c r="Y49" s="19">
        <v>0.6</v>
      </c>
      <c r="Z49" s="11">
        <f>Y49*C49</f>
        <v>0</v>
      </c>
      <c r="AB49" s="8"/>
    </row>
    <row r="50" spans="1:26" ht="12">
      <c r="A50" s="14">
        <v>99</v>
      </c>
      <c r="B50" s="18" t="s">
        <v>54</v>
      </c>
      <c r="C50" s="10"/>
      <c r="D50" s="11">
        <v>81.4</v>
      </c>
      <c r="E50" s="12"/>
      <c r="F50" s="12"/>
      <c r="G50" s="12"/>
      <c r="H50" s="12"/>
      <c r="I50" s="12"/>
      <c r="J50" s="12"/>
      <c r="K50" s="12"/>
      <c r="L50" s="12">
        <f>$C50/$D50</f>
        <v>0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1"/>
      <c r="Y50" s="19">
        <v>3.02</v>
      </c>
      <c r="Z50" s="11">
        <f>Y50*C50</f>
        <v>0</v>
      </c>
    </row>
    <row r="51" spans="1:26" ht="12">
      <c r="A51" s="14">
        <v>99</v>
      </c>
      <c r="B51" s="18" t="s">
        <v>55</v>
      </c>
      <c r="C51" s="10"/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1"/>
      <c r="Y51" s="19">
        <v>0</v>
      </c>
      <c r="Z51" s="11">
        <f>Y51*C51</f>
        <v>0</v>
      </c>
    </row>
    <row r="52" spans="1:26" ht="12">
      <c r="A52" s="14">
        <v>99</v>
      </c>
      <c r="B52" s="18"/>
      <c r="C52" s="10"/>
      <c r="D52" s="5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53"/>
      <c r="Y52" s="61"/>
      <c r="Z52" s="11">
        <f>Y52*C52</f>
        <v>0</v>
      </c>
    </row>
    <row r="53" spans="2:28" ht="12">
      <c r="B53" s="59" t="s">
        <v>56</v>
      </c>
      <c r="C53" s="7">
        <f>SUM(RECIPE)</f>
        <v>95</v>
      </c>
      <c r="D53" s="59" t="s">
        <v>29</v>
      </c>
      <c r="E53" s="24" t="str">
        <f aca="true" t="shared" si="2" ref="E53:R53">E$65</f>
        <v>BaO</v>
      </c>
      <c r="F53" s="25" t="str">
        <f t="shared" si="2"/>
        <v>CaO</v>
      </c>
      <c r="G53" s="25" t="str">
        <f t="shared" si="2"/>
        <v>PbO</v>
      </c>
      <c r="H53" s="25" t="str">
        <f t="shared" si="2"/>
        <v>Li2O</v>
      </c>
      <c r="I53" s="25" t="str">
        <f t="shared" si="2"/>
        <v>MgO</v>
      </c>
      <c r="J53" s="25" t="str">
        <f t="shared" si="2"/>
        <v>K2O</v>
      </c>
      <c r="K53" s="25" t="str">
        <f t="shared" si="2"/>
        <v>Na2O</v>
      </c>
      <c r="L53" s="25" t="str">
        <f t="shared" si="2"/>
        <v>ZnO</v>
      </c>
      <c r="M53" s="25" t="str">
        <f t="shared" si="2"/>
        <v>Fe2O3</v>
      </c>
      <c r="N53" s="25" t="str">
        <f t="shared" si="2"/>
        <v>MnO</v>
      </c>
      <c r="O53" s="25" t="str">
        <f t="shared" si="2"/>
        <v>TiO2</v>
      </c>
      <c r="P53" s="25" t="str">
        <f t="shared" si="2"/>
        <v>P2O5</v>
      </c>
      <c r="Q53" s="25" t="str">
        <f t="shared" si="2"/>
        <v>SrO</v>
      </c>
      <c r="R53" s="25" t="str">
        <f t="shared" si="2"/>
        <v>ZrO2</v>
      </c>
      <c r="S53" s="25" t="s">
        <v>5</v>
      </c>
      <c r="T53" s="25" t="str">
        <f>T$65</f>
        <v>F</v>
      </c>
      <c r="U53" s="25" t="str">
        <f>U$65</f>
        <v>B2O3</v>
      </c>
      <c r="V53" s="25" t="str">
        <f>V$65</f>
        <v>Al2O3</v>
      </c>
      <c r="W53" s="25" t="str">
        <f>W$65</f>
        <v>SiO2</v>
      </c>
      <c r="Y53" s="33"/>
      <c r="Z53" s="43">
        <f>SUM(Z27:Z52)</f>
        <v>57.800000000000004</v>
      </c>
      <c r="AB53" s="8"/>
    </row>
    <row r="54" spans="2:24" ht="12">
      <c r="B54" s="15" t="s">
        <v>57</v>
      </c>
      <c r="D54" s="62">
        <f>IF(SUM(RAW_WEIGHT)&lt;&gt;0,(SUM(RAW_WEIGHT))/((100-LOI)/100),"  n/a")</f>
        <v>75.35442066712272</v>
      </c>
      <c r="E54" s="8">
        <f aca="true" t="shared" si="3" ref="E54:W54">SUM(E4:E52)</f>
        <v>0.025329280648429583</v>
      </c>
      <c r="F54" s="8">
        <f t="shared" si="3"/>
        <v>0.1315217391304348</v>
      </c>
      <c r="G54" s="8">
        <f t="shared" si="3"/>
        <v>0</v>
      </c>
      <c r="H54" s="8">
        <f t="shared" si="3"/>
        <v>0.06811989100817438</v>
      </c>
      <c r="I54" s="8">
        <f t="shared" si="3"/>
        <v>0.08152173913043478</v>
      </c>
      <c r="J54" s="8">
        <f t="shared" si="3"/>
        <v>0</v>
      </c>
      <c r="K54" s="8">
        <f t="shared" si="3"/>
        <v>0.14153613889413097</v>
      </c>
      <c r="L54" s="8">
        <f t="shared" si="3"/>
        <v>0</v>
      </c>
      <c r="M54" s="8">
        <f t="shared" si="3"/>
        <v>0</v>
      </c>
      <c r="N54" s="8">
        <f t="shared" si="3"/>
        <v>0</v>
      </c>
      <c r="O54" s="8">
        <f t="shared" si="3"/>
        <v>0</v>
      </c>
      <c r="P54" s="8">
        <f t="shared" si="3"/>
        <v>0</v>
      </c>
      <c r="Q54" s="8">
        <f t="shared" si="3"/>
        <v>0</v>
      </c>
      <c r="R54" s="8">
        <f t="shared" si="3"/>
        <v>0</v>
      </c>
      <c r="S54" s="8">
        <f t="shared" si="3"/>
        <v>0</v>
      </c>
      <c r="T54" s="8">
        <f t="shared" si="3"/>
        <v>0</v>
      </c>
      <c r="U54" s="8">
        <f t="shared" si="3"/>
        <v>0</v>
      </c>
      <c r="V54" s="8">
        <f t="shared" si="3"/>
        <v>0</v>
      </c>
      <c r="W54" s="8">
        <f t="shared" si="3"/>
        <v>0.8333333333333334</v>
      </c>
      <c r="X54" s="8"/>
    </row>
    <row r="55" spans="2:24" ht="12">
      <c r="B55" s="15" t="s">
        <v>58</v>
      </c>
      <c r="D55" s="62">
        <f>IF(SUM(FORMULA_WEIGHT)&gt;0,SUM(FORMULA_WEIGHT)/((100-LOI)/100),"  n/a")</f>
        <v>168.19102376657574</v>
      </c>
      <c r="E55" s="8">
        <f aca="true" t="shared" si="4" ref="E55:W55">IF(UNITY_TOTAL&gt;0,+E54/UNITY_TOTAL,0)</f>
        <v>0.05653493989887446</v>
      </c>
      <c r="F55" s="8">
        <f t="shared" si="4"/>
        <v>0.2935564464044731</v>
      </c>
      <c r="G55" s="8">
        <f t="shared" si="4"/>
        <v>0</v>
      </c>
      <c r="H55" s="8">
        <f t="shared" si="4"/>
        <v>0.1520435577116869</v>
      </c>
      <c r="I55" s="8">
        <f t="shared" si="4"/>
        <v>0.18195647504409487</v>
      </c>
      <c r="J55" s="8">
        <f t="shared" si="4"/>
        <v>0</v>
      </c>
      <c r="K55" s="8">
        <f t="shared" si="4"/>
        <v>0.31590858094087054</v>
      </c>
      <c r="L55" s="8">
        <f t="shared" si="4"/>
        <v>0</v>
      </c>
      <c r="M55" s="8">
        <f t="shared" si="4"/>
        <v>0</v>
      </c>
      <c r="N55" s="8">
        <f t="shared" si="4"/>
        <v>0</v>
      </c>
      <c r="O55" s="8">
        <f t="shared" si="4"/>
        <v>0</v>
      </c>
      <c r="P55" s="8">
        <f t="shared" si="4"/>
        <v>0</v>
      </c>
      <c r="Q55" s="8">
        <f t="shared" si="4"/>
        <v>0</v>
      </c>
      <c r="R55" s="8">
        <f t="shared" si="4"/>
        <v>0</v>
      </c>
      <c r="S55" s="8">
        <f t="shared" si="4"/>
        <v>0</v>
      </c>
      <c r="T55" s="8">
        <f t="shared" si="4"/>
        <v>0</v>
      </c>
      <c r="U55" s="8">
        <f t="shared" si="4"/>
        <v>0</v>
      </c>
      <c r="V55" s="8">
        <f t="shared" si="4"/>
        <v>0</v>
      </c>
      <c r="W55" s="8">
        <f t="shared" si="4"/>
        <v>1.85999952267297</v>
      </c>
      <c r="X55" s="8"/>
    </row>
    <row r="56" spans="2:24" ht="12">
      <c r="B56" s="15" t="s">
        <v>3</v>
      </c>
      <c r="E56" s="8">
        <f aca="true" t="shared" si="5" ref="E56:W56">IF(E78&gt;0,+E79*(100-LOI)/100,0)</f>
        <v>5.15631547170046</v>
      </c>
      <c r="F56" s="8">
        <f t="shared" si="5"/>
        <v>9.791555027423346</v>
      </c>
      <c r="G56" s="8">
        <f t="shared" si="5"/>
        <v>0</v>
      </c>
      <c r="H56" s="8">
        <f t="shared" si="5"/>
        <v>2.693900018170105</v>
      </c>
      <c r="I56" s="8">
        <f t="shared" si="5"/>
        <v>4.359831922097061</v>
      </c>
      <c r="J56" s="8">
        <f t="shared" si="5"/>
        <v>0</v>
      </c>
      <c r="K56" s="8">
        <f t="shared" si="5"/>
        <v>11.645289730513149</v>
      </c>
      <c r="L56" s="8">
        <f t="shared" si="5"/>
        <v>0</v>
      </c>
      <c r="M56" s="8">
        <f t="shared" si="5"/>
        <v>0</v>
      </c>
      <c r="N56" s="8">
        <f t="shared" si="5"/>
        <v>0</v>
      </c>
      <c r="O56" s="8">
        <f t="shared" si="5"/>
        <v>0</v>
      </c>
      <c r="P56" s="8">
        <f t="shared" si="5"/>
        <v>0</v>
      </c>
      <c r="Q56" s="8">
        <f t="shared" si="5"/>
        <v>0</v>
      </c>
      <c r="R56" s="8">
        <f t="shared" si="5"/>
        <v>0</v>
      </c>
      <c r="S56" s="8">
        <f t="shared" si="5"/>
        <v>0</v>
      </c>
      <c r="T56" s="8">
        <f t="shared" si="5"/>
        <v>0</v>
      </c>
      <c r="U56" s="8">
        <f t="shared" si="5"/>
        <v>0</v>
      </c>
      <c r="V56" s="8">
        <f t="shared" si="5"/>
        <v>0</v>
      </c>
      <c r="W56" s="8">
        <f t="shared" si="5"/>
        <v>66.35310783009588</v>
      </c>
      <c r="X56" s="8"/>
    </row>
    <row r="57" spans="2:23" ht="12">
      <c r="B57" s="26"/>
      <c r="D57" s="27"/>
      <c r="V57" s="1">
        <v>0.24</v>
      </c>
      <c r="W57" s="1">
        <v>2.2</v>
      </c>
    </row>
    <row r="58" spans="2:4" ht="12">
      <c r="B58" s="15" t="s">
        <v>59</v>
      </c>
      <c r="D58" s="28"/>
    </row>
    <row r="59" spans="2:4" ht="12">
      <c r="B59" s="15" t="s">
        <v>60</v>
      </c>
      <c r="D59" s="8">
        <f>IF(RECIPE_TOTAL=0,"  n/a",RAW_PROP/RECIPE_TOTAL)</f>
        <v>0.608421052631579</v>
      </c>
    </row>
    <row r="60" spans="2:10" ht="12">
      <c r="B60" s="15" t="s">
        <v>61</v>
      </c>
      <c r="D60" s="8" t="str">
        <f>IF(BOTTOM_TOTAL&gt;0,W76/BOTTOM_TOTAL,"  n/a")</f>
        <v>  n/a</v>
      </c>
      <c r="J60" s="8"/>
    </row>
    <row r="61" spans="2:10" ht="12">
      <c r="B61" s="29" t="s">
        <v>62</v>
      </c>
      <c r="D61" s="8">
        <f>IF(SUM(WEIGHT_EXPAN)&lt;&gt;0,SUM(WEIGHT_EXPAN),"  n/a")</f>
        <v>91.96641783637948</v>
      </c>
      <c r="J61" s="8"/>
    </row>
    <row r="62" spans="2:4" ht="12">
      <c r="B62" s="15" t="s">
        <v>63</v>
      </c>
      <c r="D62" s="30">
        <f>IF(SUM(WEIGHT_FUSION)&lt;&gt;0,(SUM(WEIGHT_FUSION)-32)/9*5,"  n/a")</f>
        <v>909.1341892561215</v>
      </c>
    </row>
    <row r="64" spans="1:23" ht="12">
      <c r="A64" s="31" t="s">
        <v>64</v>
      </c>
      <c r="B64" s="3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2:23" ht="12">
      <c r="B65" s="17" t="s">
        <v>65</v>
      </c>
      <c r="C65" s="33"/>
      <c r="D65" s="50"/>
      <c r="E65" s="34" t="s">
        <v>6</v>
      </c>
      <c r="F65" s="34" t="s">
        <v>7</v>
      </c>
      <c r="G65" s="34" t="s">
        <v>8</v>
      </c>
      <c r="H65" s="34" t="s">
        <v>9</v>
      </c>
      <c r="I65" s="34" t="s">
        <v>10</v>
      </c>
      <c r="J65" s="34" t="s">
        <v>11</v>
      </c>
      <c r="K65" s="34" t="s">
        <v>12</v>
      </c>
      <c r="L65" s="34" t="s">
        <v>13</v>
      </c>
      <c r="M65" s="34" t="s">
        <v>14</v>
      </c>
      <c r="N65" s="34" t="s">
        <v>15</v>
      </c>
      <c r="O65" s="34" t="s">
        <v>16</v>
      </c>
      <c r="P65" s="34" t="s">
        <v>17</v>
      </c>
      <c r="Q65" s="34" t="s">
        <v>18</v>
      </c>
      <c r="R65" s="34" t="s">
        <v>19</v>
      </c>
      <c r="S65" s="34" t="s">
        <v>5</v>
      </c>
      <c r="T65" s="34" t="s">
        <v>20</v>
      </c>
      <c r="U65" s="34" t="s">
        <v>21</v>
      </c>
      <c r="V65" s="34" t="s">
        <v>22</v>
      </c>
      <c r="W65" s="35" t="s">
        <v>23</v>
      </c>
    </row>
    <row r="66" spans="2:23" ht="12">
      <c r="B66" s="18" t="s">
        <v>66</v>
      </c>
      <c r="C66" s="3"/>
      <c r="D66" s="53"/>
      <c r="E66" s="36">
        <v>1</v>
      </c>
      <c r="F66" s="36">
        <v>1</v>
      </c>
      <c r="G66" s="36">
        <v>1</v>
      </c>
      <c r="H66" s="36">
        <v>1</v>
      </c>
      <c r="I66" s="36">
        <v>1</v>
      </c>
      <c r="J66" s="36">
        <v>1</v>
      </c>
      <c r="K66" s="36">
        <v>1</v>
      </c>
      <c r="L66" s="36">
        <v>1</v>
      </c>
      <c r="M66" s="36">
        <v>1</v>
      </c>
      <c r="N66" s="36">
        <v>1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7">
        <v>0</v>
      </c>
    </row>
    <row r="67" spans="2:23" ht="12">
      <c r="B67" s="18" t="s">
        <v>67</v>
      </c>
      <c r="C67" s="3"/>
      <c r="D67" s="53"/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7">
        <v>1</v>
      </c>
    </row>
    <row r="68" spans="2:23" ht="12">
      <c r="B68" s="18" t="s">
        <v>68</v>
      </c>
      <c r="C68" s="3"/>
      <c r="D68" s="53"/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1</v>
      </c>
      <c r="W68" s="37">
        <v>0</v>
      </c>
    </row>
    <row r="69" spans="2:23" ht="12">
      <c r="B69" s="18" t="s">
        <v>69</v>
      </c>
      <c r="C69" s="3"/>
      <c r="D69" s="53"/>
      <c r="E69" s="38">
        <v>153.4</v>
      </c>
      <c r="F69" s="38">
        <v>56.1</v>
      </c>
      <c r="G69" s="38">
        <v>223.2</v>
      </c>
      <c r="H69" s="38">
        <v>29.8</v>
      </c>
      <c r="I69" s="38">
        <v>40.3</v>
      </c>
      <c r="J69" s="38">
        <v>94.2</v>
      </c>
      <c r="K69" s="38">
        <v>62</v>
      </c>
      <c r="L69" s="38">
        <v>81.4</v>
      </c>
      <c r="M69" s="38">
        <v>160</v>
      </c>
      <c r="N69" s="38">
        <v>71</v>
      </c>
      <c r="O69" s="38">
        <v>79.7</v>
      </c>
      <c r="P69" s="38">
        <v>142</v>
      </c>
      <c r="Q69" s="38">
        <v>103.6</v>
      </c>
      <c r="R69" s="38">
        <v>123.2</v>
      </c>
      <c r="S69" s="38">
        <v>18</v>
      </c>
      <c r="T69" s="38">
        <v>19</v>
      </c>
      <c r="U69" s="38">
        <v>69.6</v>
      </c>
      <c r="V69" s="38">
        <v>102</v>
      </c>
      <c r="W69" s="39">
        <v>60</v>
      </c>
    </row>
    <row r="70" spans="2:23" ht="12">
      <c r="B70" s="18" t="s">
        <v>70</v>
      </c>
      <c r="C70" s="3"/>
      <c r="D70" s="53"/>
      <c r="E70" s="38">
        <v>18.193</v>
      </c>
      <c r="F70" s="38">
        <v>21.762</v>
      </c>
      <c r="G70" s="38">
        <v>9.925</v>
      </c>
      <c r="H70" s="38"/>
      <c r="I70" s="38">
        <v>40.056</v>
      </c>
      <c r="J70" s="38">
        <v>4.6</v>
      </c>
      <c r="K70" s="38">
        <v>-2.417</v>
      </c>
      <c r="L70" s="38">
        <v>21.385</v>
      </c>
      <c r="M70" s="38"/>
      <c r="N70" s="38"/>
      <c r="O70" s="38"/>
      <c r="P70" s="38"/>
      <c r="Q70" s="38"/>
      <c r="R70" s="38"/>
      <c r="S70" s="38"/>
      <c r="T70" s="38"/>
      <c r="U70" s="38">
        <v>11.67</v>
      </c>
      <c r="V70" s="38">
        <v>20.026</v>
      </c>
      <c r="W70" s="39">
        <v>18.312</v>
      </c>
    </row>
    <row r="71" spans="2:23" ht="12">
      <c r="B71" s="18" t="s">
        <v>71</v>
      </c>
      <c r="C71" s="3"/>
      <c r="D71" s="53"/>
      <c r="E71" s="40">
        <v>1740.896</v>
      </c>
      <c r="F71" s="40">
        <v>1625.083</v>
      </c>
      <c r="G71" s="40">
        <v>1171.973</v>
      </c>
      <c r="H71" s="40"/>
      <c r="I71" s="40">
        <v>2060.284</v>
      </c>
      <c r="J71" s="40">
        <v>1443.056</v>
      </c>
      <c r="K71" s="40">
        <v>1238.42</v>
      </c>
      <c r="L71" s="40">
        <v>1664.609</v>
      </c>
      <c r="M71" s="40"/>
      <c r="N71" s="40"/>
      <c r="O71" s="40"/>
      <c r="P71" s="40"/>
      <c r="Q71" s="40"/>
      <c r="R71" s="40"/>
      <c r="S71" s="40"/>
      <c r="T71" s="40"/>
      <c r="U71" s="40">
        <v>-63.17</v>
      </c>
      <c r="V71" s="40">
        <v>94.253</v>
      </c>
      <c r="W71" s="41">
        <v>43.09</v>
      </c>
    </row>
    <row r="72" spans="2:23" ht="12">
      <c r="B72" s="18" t="s">
        <v>108</v>
      </c>
      <c r="C72" s="3"/>
      <c r="D72" s="53"/>
      <c r="E72" s="63">
        <v>1.4</v>
      </c>
      <c r="F72" s="63">
        <v>1.63</v>
      </c>
      <c r="G72" s="63">
        <v>1.06</v>
      </c>
      <c r="H72" s="63">
        <v>4.9</v>
      </c>
      <c r="I72" s="63">
        <v>0.45</v>
      </c>
      <c r="J72" s="63">
        <v>3.9</v>
      </c>
      <c r="K72" s="63">
        <v>4.32</v>
      </c>
      <c r="L72" s="63">
        <v>0.7</v>
      </c>
      <c r="M72" s="63"/>
      <c r="N72" s="63"/>
      <c r="O72" s="63"/>
      <c r="P72" s="63"/>
      <c r="Q72" s="63"/>
      <c r="R72" s="63">
        <v>0.23</v>
      </c>
      <c r="S72" s="63"/>
      <c r="T72" s="63"/>
      <c r="U72" s="63">
        <v>-0.653</v>
      </c>
      <c r="V72" s="63">
        <v>0.14</v>
      </c>
      <c r="W72" s="64">
        <v>0.05</v>
      </c>
    </row>
    <row r="73" spans="2:23" ht="12">
      <c r="B73" s="21" t="s">
        <v>72</v>
      </c>
      <c r="C73" s="23"/>
      <c r="D73" s="22"/>
      <c r="E73" s="65">
        <v>9.158</v>
      </c>
      <c r="F73" s="65">
        <v>8.553</v>
      </c>
      <c r="G73" s="65">
        <v>7.452</v>
      </c>
      <c r="H73" s="65"/>
      <c r="I73" s="65">
        <v>4.656</v>
      </c>
      <c r="J73" s="65">
        <v>11.118</v>
      </c>
      <c r="K73" s="65">
        <v>12.332</v>
      </c>
      <c r="L73" s="65">
        <v>8.148</v>
      </c>
      <c r="M73" s="65">
        <v>10.4</v>
      </c>
      <c r="N73" s="65">
        <v>5.7</v>
      </c>
      <c r="O73" s="65">
        <v>0.949</v>
      </c>
      <c r="P73" s="65"/>
      <c r="Q73" s="65">
        <v>7.855</v>
      </c>
      <c r="R73" s="65">
        <v>1.494</v>
      </c>
      <c r="S73" s="65"/>
      <c r="T73" s="65">
        <v>0.768</v>
      </c>
      <c r="U73" s="65">
        <v>-0.556</v>
      </c>
      <c r="V73" s="65">
        <v>0.912</v>
      </c>
      <c r="W73" s="66">
        <v>-0.489</v>
      </c>
    </row>
    <row r="74" spans="1:23" ht="12">
      <c r="A74" s="16" t="s">
        <v>73</v>
      </c>
      <c r="D74" s="15" t="s">
        <v>74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2:23" ht="12">
      <c r="B75" s="17" t="s">
        <v>75</v>
      </c>
      <c r="C75" s="33"/>
      <c r="D75" s="7">
        <f>SUM(E75:W75)</f>
        <v>0.4480287888116046</v>
      </c>
      <c r="E75" s="43">
        <f aca="true" t="shared" si="6" ref="E75:U75">E66*E54</f>
        <v>0.025329280648429583</v>
      </c>
      <c r="F75" s="43">
        <f t="shared" si="6"/>
        <v>0.1315217391304348</v>
      </c>
      <c r="G75" s="43">
        <f t="shared" si="6"/>
        <v>0</v>
      </c>
      <c r="H75" s="43">
        <f t="shared" si="6"/>
        <v>0.06811989100817438</v>
      </c>
      <c r="I75" s="43">
        <f t="shared" si="6"/>
        <v>0.08152173913043478</v>
      </c>
      <c r="J75" s="43">
        <f t="shared" si="6"/>
        <v>0</v>
      </c>
      <c r="K75" s="43">
        <f t="shared" si="6"/>
        <v>0.14153613889413097</v>
      </c>
      <c r="L75" s="43">
        <f t="shared" si="6"/>
        <v>0</v>
      </c>
      <c r="M75" s="43">
        <f t="shared" si="6"/>
        <v>0</v>
      </c>
      <c r="N75" s="43">
        <f t="shared" si="6"/>
        <v>0</v>
      </c>
      <c r="O75" s="43">
        <f t="shared" si="6"/>
        <v>0</v>
      </c>
      <c r="P75" s="43">
        <f t="shared" si="6"/>
        <v>0</v>
      </c>
      <c r="Q75" s="43">
        <f t="shared" si="6"/>
        <v>0</v>
      </c>
      <c r="R75" s="43">
        <f t="shared" si="6"/>
        <v>0</v>
      </c>
      <c r="S75" s="43">
        <f t="shared" si="6"/>
        <v>0</v>
      </c>
      <c r="T75" s="43">
        <f t="shared" si="6"/>
        <v>0</v>
      </c>
      <c r="U75" s="43">
        <f t="shared" si="6"/>
        <v>0</v>
      </c>
      <c r="V75" s="43">
        <f>_R2O3_UNITY*V54</f>
        <v>0</v>
      </c>
      <c r="W75" s="44">
        <f>W66*W54</f>
        <v>0</v>
      </c>
    </row>
    <row r="76" spans="2:23" ht="12">
      <c r="B76" s="18" t="s">
        <v>76</v>
      </c>
      <c r="C76" s="3"/>
      <c r="D76" s="12">
        <f>SUM(E76:W76)</f>
        <v>0.8333333333333334</v>
      </c>
      <c r="E76" s="45">
        <f aca="true" t="shared" si="7" ref="E76:U76">E54*E67</f>
        <v>0</v>
      </c>
      <c r="F76" s="45">
        <f t="shared" si="7"/>
        <v>0</v>
      </c>
      <c r="G76" s="45">
        <f t="shared" si="7"/>
        <v>0</v>
      </c>
      <c r="H76" s="45">
        <f t="shared" si="7"/>
        <v>0</v>
      </c>
      <c r="I76" s="45">
        <f t="shared" si="7"/>
        <v>0</v>
      </c>
      <c r="J76" s="45">
        <f t="shared" si="7"/>
        <v>0</v>
      </c>
      <c r="K76" s="45">
        <f t="shared" si="7"/>
        <v>0</v>
      </c>
      <c r="L76" s="45">
        <f t="shared" si="7"/>
        <v>0</v>
      </c>
      <c r="M76" s="45">
        <f t="shared" si="7"/>
        <v>0</v>
      </c>
      <c r="N76" s="45">
        <f t="shared" si="7"/>
        <v>0</v>
      </c>
      <c r="O76" s="45">
        <f t="shared" si="7"/>
        <v>0</v>
      </c>
      <c r="P76" s="45">
        <f t="shared" si="7"/>
        <v>0</v>
      </c>
      <c r="Q76" s="45">
        <f t="shared" si="7"/>
        <v>0</v>
      </c>
      <c r="R76" s="45">
        <f t="shared" si="7"/>
        <v>0</v>
      </c>
      <c r="S76" s="45">
        <f t="shared" si="7"/>
        <v>0</v>
      </c>
      <c r="T76" s="45">
        <f t="shared" si="7"/>
        <v>0</v>
      </c>
      <c r="U76" s="45">
        <f t="shared" si="7"/>
        <v>0</v>
      </c>
      <c r="V76" s="45">
        <f>V54*_R2O3_UNITY</f>
        <v>0</v>
      </c>
      <c r="W76" s="46">
        <f>W54*W67</f>
        <v>0.8333333333333334</v>
      </c>
    </row>
    <row r="77" spans="2:23" ht="12">
      <c r="B77" s="18" t="s">
        <v>77</v>
      </c>
      <c r="C77" s="3"/>
      <c r="D77" s="12">
        <f>SUM(E77:W77)</f>
        <v>0</v>
      </c>
      <c r="E77" s="45">
        <f aca="true" t="shared" si="8" ref="E77:W77">E54*E68</f>
        <v>0</v>
      </c>
      <c r="F77" s="45">
        <f t="shared" si="8"/>
        <v>0</v>
      </c>
      <c r="G77" s="45">
        <f t="shared" si="8"/>
        <v>0</v>
      </c>
      <c r="H77" s="45">
        <f t="shared" si="8"/>
        <v>0</v>
      </c>
      <c r="I77" s="45">
        <f t="shared" si="8"/>
        <v>0</v>
      </c>
      <c r="J77" s="45">
        <f t="shared" si="8"/>
        <v>0</v>
      </c>
      <c r="K77" s="45">
        <f t="shared" si="8"/>
        <v>0</v>
      </c>
      <c r="L77" s="45">
        <f t="shared" si="8"/>
        <v>0</v>
      </c>
      <c r="M77" s="45">
        <f t="shared" si="8"/>
        <v>0</v>
      </c>
      <c r="N77" s="45">
        <f t="shared" si="8"/>
        <v>0</v>
      </c>
      <c r="O77" s="45">
        <f t="shared" si="8"/>
        <v>0</v>
      </c>
      <c r="P77" s="45">
        <f t="shared" si="8"/>
        <v>0</v>
      </c>
      <c r="Q77" s="45">
        <f t="shared" si="8"/>
        <v>0</v>
      </c>
      <c r="R77" s="45">
        <f t="shared" si="8"/>
        <v>0</v>
      </c>
      <c r="S77" s="45">
        <f t="shared" si="8"/>
        <v>0</v>
      </c>
      <c r="T77" s="45">
        <f t="shared" si="8"/>
        <v>0</v>
      </c>
      <c r="U77" s="45">
        <f t="shared" si="8"/>
        <v>0</v>
      </c>
      <c r="V77" s="45">
        <f t="shared" si="8"/>
        <v>0</v>
      </c>
      <c r="W77" s="46">
        <f t="shared" si="8"/>
        <v>0</v>
      </c>
    </row>
    <row r="78" spans="2:23" ht="12">
      <c r="B78" s="18" t="s">
        <v>78</v>
      </c>
      <c r="C78" s="3"/>
      <c r="D78" s="12">
        <f>SUM(RAW_TOTAL)</f>
        <v>75.35442066712272</v>
      </c>
      <c r="E78" s="45">
        <f aca="true" t="shared" si="9" ref="E78:W78">E69*E54</f>
        <v>3.8855116514690984</v>
      </c>
      <c r="F78" s="45">
        <f t="shared" si="9"/>
        <v>7.378369565217392</v>
      </c>
      <c r="G78" s="45">
        <f t="shared" si="9"/>
        <v>0</v>
      </c>
      <c r="H78" s="45">
        <f t="shared" si="9"/>
        <v>2.0299727520435966</v>
      </c>
      <c r="I78" s="45">
        <f t="shared" si="9"/>
        <v>3.2853260869565215</v>
      </c>
      <c r="J78" s="45">
        <f t="shared" si="9"/>
        <v>0</v>
      </c>
      <c r="K78" s="45">
        <f t="shared" si="9"/>
        <v>8.77524061143612</v>
      </c>
      <c r="L78" s="45">
        <f t="shared" si="9"/>
        <v>0</v>
      </c>
      <c r="M78" s="45">
        <f t="shared" si="9"/>
        <v>0</v>
      </c>
      <c r="N78" s="45">
        <f t="shared" si="9"/>
        <v>0</v>
      </c>
      <c r="O78" s="45">
        <f t="shared" si="9"/>
        <v>0</v>
      </c>
      <c r="P78" s="45">
        <f t="shared" si="9"/>
        <v>0</v>
      </c>
      <c r="Q78" s="45">
        <f t="shared" si="9"/>
        <v>0</v>
      </c>
      <c r="R78" s="45">
        <f t="shared" si="9"/>
        <v>0</v>
      </c>
      <c r="S78" s="45">
        <f t="shared" si="9"/>
        <v>0</v>
      </c>
      <c r="T78" s="45">
        <f t="shared" si="9"/>
        <v>0</v>
      </c>
      <c r="U78" s="45">
        <f t="shared" si="9"/>
        <v>0</v>
      </c>
      <c r="V78" s="45">
        <f t="shared" si="9"/>
        <v>0</v>
      </c>
      <c r="W78" s="46">
        <f t="shared" si="9"/>
        <v>50</v>
      </c>
    </row>
    <row r="79" spans="2:23" ht="12">
      <c r="B79" s="18" t="s">
        <v>79</v>
      </c>
      <c r="C79" s="3"/>
      <c r="D79" s="12">
        <f>SUM(PERCENT_NOLOI)</f>
        <v>100</v>
      </c>
      <c r="E79" s="45">
        <f aca="true" t="shared" si="10" ref="E79:W79">IF(PERCENT_SUM&lt;&gt;0,+E78/PERCENT_SUM*100,0)</f>
        <v>5.15631547170046</v>
      </c>
      <c r="F79" s="45">
        <f t="shared" si="10"/>
        <v>9.791555027423346</v>
      </c>
      <c r="G79" s="45">
        <f t="shared" si="10"/>
        <v>0</v>
      </c>
      <c r="H79" s="45">
        <f t="shared" si="10"/>
        <v>2.693900018170105</v>
      </c>
      <c r="I79" s="45">
        <f t="shared" si="10"/>
        <v>4.359831922097061</v>
      </c>
      <c r="J79" s="45">
        <f t="shared" si="10"/>
        <v>0</v>
      </c>
      <c r="K79" s="45">
        <f t="shared" si="10"/>
        <v>11.645289730513147</v>
      </c>
      <c r="L79" s="45">
        <f t="shared" si="10"/>
        <v>0</v>
      </c>
      <c r="M79" s="45">
        <f t="shared" si="10"/>
        <v>0</v>
      </c>
      <c r="N79" s="45">
        <f t="shared" si="10"/>
        <v>0</v>
      </c>
      <c r="O79" s="45">
        <f t="shared" si="10"/>
        <v>0</v>
      </c>
      <c r="P79" s="45">
        <f t="shared" si="10"/>
        <v>0</v>
      </c>
      <c r="Q79" s="45">
        <f t="shared" si="10"/>
        <v>0</v>
      </c>
      <c r="R79" s="45">
        <f t="shared" si="10"/>
        <v>0</v>
      </c>
      <c r="S79" s="45">
        <f t="shared" si="10"/>
        <v>0</v>
      </c>
      <c r="T79" s="45">
        <f t="shared" si="10"/>
        <v>0</v>
      </c>
      <c r="U79" s="45">
        <f t="shared" si="10"/>
        <v>0</v>
      </c>
      <c r="V79" s="45">
        <f t="shared" si="10"/>
        <v>0</v>
      </c>
      <c r="W79" s="46">
        <f t="shared" si="10"/>
        <v>66.35310783009588</v>
      </c>
    </row>
    <row r="80" spans="2:24" ht="12">
      <c r="B80" s="18" t="s">
        <v>80</v>
      </c>
      <c r="C80" s="3"/>
      <c r="D80" s="3"/>
      <c r="E80" s="45">
        <f aca="true" t="shared" si="11" ref="E80:W80">E79*E70</f>
        <v>93.80884737664648</v>
      </c>
      <c r="F80" s="45">
        <f t="shared" si="11"/>
        <v>213.08382050678685</v>
      </c>
      <c r="G80" s="45">
        <f t="shared" si="11"/>
        <v>0</v>
      </c>
      <c r="H80" s="45">
        <f t="shared" si="11"/>
        <v>0</v>
      </c>
      <c r="I80" s="45">
        <f t="shared" si="11"/>
        <v>174.63742747151986</v>
      </c>
      <c r="J80" s="45">
        <f t="shared" si="11"/>
        <v>0</v>
      </c>
      <c r="K80" s="45">
        <f t="shared" si="11"/>
        <v>-28.146665278650275</v>
      </c>
      <c r="L80" s="45">
        <f t="shared" si="11"/>
        <v>0</v>
      </c>
      <c r="M80" s="45">
        <f t="shared" si="11"/>
        <v>0</v>
      </c>
      <c r="N80" s="45">
        <f t="shared" si="11"/>
        <v>0</v>
      </c>
      <c r="O80" s="45">
        <f t="shared" si="11"/>
        <v>0</v>
      </c>
      <c r="P80" s="45">
        <f t="shared" si="11"/>
        <v>0</v>
      </c>
      <c r="Q80" s="45">
        <f t="shared" si="11"/>
        <v>0</v>
      </c>
      <c r="R80" s="45">
        <f t="shared" si="11"/>
        <v>0</v>
      </c>
      <c r="S80" s="45">
        <f t="shared" si="11"/>
        <v>0</v>
      </c>
      <c r="T80" s="45">
        <f t="shared" si="11"/>
        <v>0</v>
      </c>
      <c r="U80" s="45">
        <f t="shared" si="11"/>
        <v>0</v>
      </c>
      <c r="V80" s="45">
        <f t="shared" si="11"/>
        <v>0</v>
      </c>
      <c r="W80" s="46">
        <f t="shared" si="11"/>
        <v>1215.058110584716</v>
      </c>
      <c r="X80" s="8"/>
    </row>
    <row r="81" spans="2:24" ht="12">
      <c r="B81" s="18" t="s">
        <v>81</v>
      </c>
      <c r="C81" s="3"/>
      <c r="D81" s="3"/>
      <c r="E81" s="45">
        <f aca="true" t="shared" si="12" ref="E81:W81">E55*E71</f>
        <v>98.42145073019095</v>
      </c>
      <c r="F81" s="45">
        <f t="shared" si="12"/>
        <v>477.05359059232035</v>
      </c>
      <c r="G81" s="45">
        <f t="shared" si="12"/>
        <v>0</v>
      </c>
      <c r="H81" s="45">
        <f t="shared" si="12"/>
        <v>0</v>
      </c>
      <c r="I81" s="45">
        <f t="shared" si="12"/>
        <v>374.882014229748</v>
      </c>
      <c r="J81" s="45">
        <f t="shared" si="12"/>
        <v>0</v>
      </c>
      <c r="K81" s="45">
        <f t="shared" si="12"/>
        <v>391.2275048087929</v>
      </c>
      <c r="L81" s="45">
        <f t="shared" si="12"/>
        <v>0</v>
      </c>
      <c r="M81" s="45">
        <f t="shared" si="12"/>
        <v>0</v>
      </c>
      <c r="N81" s="45">
        <f t="shared" si="12"/>
        <v>0</v>
      </c>
      <c r="O81" s="45">
        <f t="shared" si="12"/>
        <v>0</v>
      </c>
      <c r="P81" s="45">
        <f t="shared" si="12"/>
        <v>0</v>
      </c>
      <c r="Q81" s="45">
        <f t="shared" si="12"/>
        <v>0</v>
      </c>
      <c r="R81" s="45">
        <f t="shared" si="12"/>
        <v>0</v>
      </c>
      <c r="S81" s="45">
        <f t="shared" si="12"/>
        <v>0</v>
      </c>
      <c r="T81" s="45">
        <f t="shared" si="12"/>
        <v>0</v>
      </c>
      <c r="U81" s="45">
        <f t="shared" si="12"/>
        <v>0</v>
      </c>
      <c r="V81" s="45">
        <f t="shared" si="12"/>
        <v>0</v>
      </c>
      <c r="W81" s="46">
        <f t="shared" si="12"/>
        <v>80.14737943197828</v>
      </c>
      <c r="X81" s="8"/>
    </row>
    <row r="82" spans="2:24" ht="12">
      <c r="B82" s="18" t="s">
        <v>82</v>
      </c>
      <c r="C82" s="3"/>
      <c r="D82" s="3"/>
      <c r="E82" s="45">
        <f aca="true" t="shared" si="13" ref="E82:W82">E79*E72</f>
        <v>7.218841660380644</v>
      </c>
      <c r="F82" s="45">
        <f t="shared" si="13"/>
        <v>15.960234694700054</v>
      </c>
      <c r="G82" s="45">
        <f t="shared" si="13"/>
        <v>0</v>
      </c>
      <c r="H82" s="45">
        <f t="shared" si="13"/>
        <v>13.200110089033517</v>
      </c>
      <c r="I82" s="45">
        <f t="shared" si="13"/>
        <v>1.9619243649436773</v>
      </c>
      <c r="J82" s="45">
        <f t="shared" si="13"/>
        <v>0</v>
      </c>
      <c r="K82" s="45">
        <f t="shared" si="13"/>
        <v>50.307651635816796</v>
      </c>
      <c r="L82" s="45">
        <f t="shared" si="13"/>
        <v>0</v>
      </c>
      <c r="M82" s="45">
        <f t="shared" si="13"/>
        <v>0</v>
      </c>
      <c r="N82" s="45">
        <f t="shared" si="13"/>
        <v>0</v>
      </c>
      <c r="O82" s="45">
        <f t="shared" si="13"/>
        <v>0</v>
      </c>
      <c r="P82" s="45">
        <f t="shared" si="13"/>
        <v>0</v>
      </c>
      <c r="Q82" s="45">
        <f t="shared" si="13"/>
        <v>0</v>
      </c>
      <c r="R82" s="45">
        <f t="shared" si="13"/>
        <v>0</v>
      </c>
      <c r="S82" s="45">
        <f t="shared" si="13"/>
        <v>0</v>
      </c>
      <c r="T82" s="45">
        <f t="shared" si="13"/>
        <v>0</v>
      </c>
      <c r="U82" s="45">
        <f t="shared" si="13"/>
        <v>0</v>
      </c>
      <c r="V82" s="45">
        <f t="shared" si="13"/>
        <v>0</v>
      </c>
      <c r="W82" s="46">
        <f t="shared" si="13"/>
        <v>3.317655391504794</v>
      </c>
      <c r="X82" s="8"/>
    </row>
    <row r="83" spans="2:24" ht="12">
      <c r="B83" s="18" t="s">
        <v>83</v>
      </c>
      <c r="C83" s="3"/>
      <c r="D83" s="3"/>
      <c r="E83" s="45">
        <f aca="true" t="shared" si="14" ref="E83:W83">E55*E73</f>
        <v>0.5177469795938923</v>
      </c>
      <c r="F83" s="45">
        <f t="shared" si="14"/>
        <v>2.5107882860974584</v>
      </c>
      <c r="G83" s="45">
        <f t="shared" si="14"/>
        <v>0</v>
      </c>
      <c r="H83" s="45">
        <f t="shared" si="14"/>
        <v>0</v>
      </c>
      <c r="I83" s="45">
        <f t="shared" si="14"/>
        <v>0.8471893478053056</v>
      </c>
      <c r="J83" s="45">
        <f t="shared" si="14"/>
        <v>0</v>
      </c>
      <c r="K83" s="45">
        <f t="shared" si="14"/>
        <v>3.8957846201628157</v>
      </c>
      <c r="L83" s="45">
        <f t="shared" si="14"/>
        <v>0</v>
      </c>
      <c r="M83" s="45">
        <f t="shared" si="14"/>
        <v>0</v>
      </c>
      <c r="N83" s="45">
        <f t="shared" si="14"/>
        <v>0</v>
      </c>
      <c r="O83" s="45">
        <f t="shared" si="14"/>
        <v>0</v>
      </c>
      <c r="P83" s="45">
        <f t="shared" si="14"/>
        <v>0</v>
      </c>
      <c r="Q83" s="45">
        <f t="shared" si="14"/>
        <v>0</v>
      </c>
      <c r="R83" s="45">
        <f t="shared" si="14"/>
        <v>0</v>
      </c>
      <c r="S83" s="45">
        <f t="shared" si="14"/>
        <v>0</v>
      </c>
      <c r="T83" s="45">
        <f t="shared" si="14"/>
        <v>0</v>
      </c>
      <c r="U83" s="45">
        <f t="shared" si="14"/>
        <v>0</v>
      </c>
      <c r="V83" s="45">
        <f t="shared" si="14"/>
        <v>0</v>
      </c>
      <c r="W83" s="46">
        <f t="shared" si="14"/>
        <v>-0.9095397665870824</v>
      </c>
      <c r="X83" s="8"/>
    </row>
    <row r="84" spans="2:24" ht="12">
      <c r="B84" s="18" t="s">
        <v>84</v>
      </c>
      <c r="C84" s="3"/>
      <c r="D84" s="3"/>
      <c r="E84" s="45">
        <f aca="true" t="shared" si="15" ref="E84:W84">E69*E54</f>
        <v>3.8855116514690984</v>
      </c>
      <c r="F84" s="45">
        <f t="shared" si="15"/>
        <v>7.378369565217392</v>
      </c>
      <c r="G84" s="45">
        <f t="shared" si="15"/>
        <v>0</v>
      </c>
      <c r="H84" s="45">
        <f t="shared" si="15"/>
        <v>2.0299727520435966</v>
      </c>
      <c r="I84" s="45">
        <f t="shared" si="15"/>
        <v>3.2853260869565215</v>
      </c>
      <c r="J84" s="45">
        <f t="shared" si="15"/>
        <v>0</v>
      </c>
      <c r="K84" s="45">
        <f t="shared" si="15"/>
        <v>8.77524061143612</v>
      </c>
      <c r="L84" s="45">
        <f t="shared" si="15"/>
        <v>0</v>
      </c>
      <c r="M84" s="45">
        <f t="shared" si="15"/>
        <v>0</v>
      </c>
      <c r="N84" s="45">
        <f t="shared" si="15"/>
        <v>0</v>
      </c>
      <c r="O84" s="45">
        <f t="shared" si="15"/>
        <v>0</v>
      </c>
      <c r="P84" s="45">
        <f t="shared" si="15"/>
        <v>0</v>
      </c>
      <c r="Q84" s="45">
        <f t="shared" si="15"/>
        <v>0</v>
      </c>
      <c r="R84" s="45">
        <f t="shared" si="15"/>
        <v>0</v>
      </c>
      <c r="S84" s="45">
        <f t="shared" si="15"/>
        <v>0</v>
      </c>
      <c r="T84" s="45">
        <f t="shared" si="15"/>
        <v>0</v>
      </c>
      <c r="U84" s="45">
        <f t="shared" si="15"/>
        <v>0</v>
      </c>
      <c r="V84" s="45">
        <f t="shared" si="15"/>
        <v>0</v>
      </c>
      <c r="W84" s="46">
        <f t="shared" si="15"/>
        <v>50</v>
      </c>
      <c r="X84" s="8"/>
    </row>
    <row r="85" spans="2:24" ht="12">
      <c r="B85" s="21" t="s">
        <v>85</v>
      </c>
      <c r="C85" s="23"/>
      <c r="D85" s="23"/>
      <c r="E85" s="47">
        <f aca="true" t="shared" si="16" ref="E85:W85">E69*E55</f>
        <v>8.672459780487342</v>
      </c>
      <c r="F85" s="47">
        <f t="shared" si="16"/>
        <v>16.46851664329094</v>
      </c>
      <c r="G85" s="47">
        <f t="shared" si="16"/>
        <v>0</v>
      </c>
      <c r="H85" s="47">
        <f t="shared" si="16"/>
        <v>4.530898019808269</v>
      </c>
      <c r="I85" s="47">
        <f t="shared" si="16"/>
        <v>7.332845944277023</v>
      </c>
      <c r="J85" s="47">
        <f t="shared" si="16"/>
        <v>0</v>
      </c>
      <c r="K85" s="47">
        <f t="shared" si="16"/>
        <v>19.586332018333973</v>
      </c>
      <c r="L85" s="47">
        <f t="shared" si="16"/>
        <v>0</v>
      </c>
      <c r="M85" s="47">
        <f t="shared" si="16"/>
        <v>0</v>
      </c>
      <c r="N85" s="47">
        <f t="shared" si="16"/>
        <v>0</v>
      </c>
      <c r="O85" s="47">
        <f t="shared" si="16"/>
        <v>0</v>
      </c>
      <c r="P85" s="47">
        <f t="shared" si="16"/>
        <v>0</v>
      </c>
      <c r="Q85" s="47">
        <f t="shared" si="16"/>
        <v>0</v>
      </c>
      <c r="R85" s="47">
        <f t="shared" si="16"/>
        <v>0</v>
      </c>
      <c r="S85" s="47">
        <f t="shared" si="16"/>
        <v>0</v>
      </c>
      <c r="T85" s="47">
        <f t="shared" si="16"/>
        <v>0</v>
      </c>
      <c r="U85" s="47">
        <f t="shared" si="16"/>
        <v>0</v>
      </c>
      <c r="V85" s="47">
        <f t="shared" si="16"/>
        <v>0</v>
      </c>
      <c r="W85" s="48">
        <f t="shared" si="16"/>
        <v>111.59997136037819</v>
      </c>
      <c r="X85" s="8"/>
    </row>
    <row r="87" ht="12">
      <c r="B87" s="2" t="s">
        <v>86</v>
      </c>
    </row>
    <row r="88" ht="12">
      <c r="B88" s="16" t="s">
        <v>87</v>
      </c>
    </row>
    <row r="89" spans="2:26" ht="12">
      <c r="B89" s="6"/>
      <c r="C89" s="49" t="s">
        <v>88</v>
      </c>
      <c r="D89" s="18" t="s">
        <v>107</v>
      </c>
      <c r="E89" s="3"/>
      <c r="F89" s="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50"/>
    </row>
    <row r="90" spans="2:26" ht="12">
      <c r="B90" s="51"/>
      <c r="C90" s="52"/>
      <c r="D90" s="18" t="s">
        <v>89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53"/>
    </row>
    <row r="91" spans="2:26" ht="12">
      <c r="B91" s="9"/>
      <c r="C91" s="54" t="s">
        <v>90</v>
      </c>
      <c r="D91" s="18" t="s">
        <v>91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53"/>
    </row>
    <row r="92" spans="2:26" ht="12">
      <c r="B92" s="9"/>
      <c r="C92" s="54" t="s">
        <v>92</v>
      </c>
      <c r="D92" s="18" t="s">
        <v>93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53"/>
    </row>
    <row r="93" spans="2:26" ht="12">
      <c r="B93" s="9"/>
      <c r="C93" s="54" t="s">
        <v>94</v>
      </c>
      <c r="D93" s="18" t="s">
        <v>95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53"/>
    </row>
    <row r="94" spans="2:26" ht="12">
      <c r="B94" s="9"/>
      <c r="C94" s="54" t="s">
        <v>96</v>
      </c>
      <c r="D94" s="18" t="s">
        <v>97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53"/>
    </row>
    <row r="95" spans="2:26" ht="12">
      <c r="B95" s="51"/>
      <c r="C95" s="52"/>
      <c r="D95" s="18" t="s">
        <v>98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53"/>
    </row>
    <row r="96" spans="2:26" ht="12">
      <c r="B96" s="51"/>
      <c r="C96" s="52"/>
      <c r="D96" s="18" t="s">
        <v>99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53"/>
    </row>
    <row r="97" spans="2:26" ht="12">
      <c r="B97" s="9"/>
      <c r="C97" s="54" t="s">
        <v>100</v>
      </c>
      <c r="D97" s="18" t="s">
        <v>101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53"/>
    </row>
    <row r="98" spans="2:26" ht="12">
      <c r="B98" s="51"/>
      <c r="C98" s="52"/>
      <c r="D98" s="18" t="s">
        <v>102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53"/>
    </row>
    <row r="99" spans="2:26" ht="12">
      <c r="B99" s="9"/>
      <c r="C99" s="54" t="s">
        <v>103</v>
      </c>
      <c r="D99" s="18" t="s">
        <v>104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53"/>
    </row>
    <row r="100" spans="2:26" ht="12">
      <c r="B100" s="9"/>
      <c r="C100" s="54" t="s">
        <v>105</v>
      </c>
      <c r="D100" s="18" t="s">
        <v>106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53"/>
    </row>
    <row r="101" spans="2:26" ht="12">
      <c r="B101" s="13"/>
      <c r="C101" s="55"/>
      <c r="D101" s="21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Hansen</dc:creator>
  <cp:keywords/>
  <dc:description/>
  <cp:lastModifiedBy>twh</cp:lastModifiedBy>
  <dcterms:created xsi:type="dcterms:W3CDTF">2000-09-05T01:36:05Z</dcterms:created>
  <dcterms:modified xsi:type="dcterms:W3CDTF">2005-06-09T05:26:19Z</dcterms:modified>
  <cp:category/>
  <cp:version/>
  <cp:contentType/>
  <cp:contentStatus/>
</cp:coreProperties>
</file>